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360" windowWidth="25170" windowHeight="66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<sst xmlns="http://schemas.openxmlformats.org/spreadsheetml/2006/main" count="1869" uniqueCount="665">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</sst>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4" sqref="B14:B27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>
        <f>IF(ISBLANK(_endDate),"",_endDate)</f>
        <v>44651</v>
      </c>
    </row>
    <row r="2" spans="1:27" ht="15.75">
      <c r="A2" s="422" t="s">
        <v>650</v>
      </c>
      <c r="B2" s="417"/>
      <c r="Z2" s="434">
        <v>2</v>
      </c>
      <c r="AA2" s="435">
        <f>IF(ISBLANK(_pdeReportingDate),"",_pdeReportingDate)</f>
        <v>44701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Валентина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85" sqref="C8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9">
        <v>4782</v>
      </c>
    </row>
    <row r="13" spans="1:8" ht="15.75">
      <c r="A13" s="66" t="s">
        <v>27</v>
      </c>
      <c r="B13" s="68" t="s">
        <v>28</v>
      </c>
      <c r="C13" s="119">
        <v>2706</v>
      </c>
      <c r="D13" s="119">
        <v>2747</v>
      </c>
      <c r="E13" s="66" t="s">
        <v>525</v>
      </c>
      <c r="F13" s="69" t="s">
        <v>29</v>
      </c>
      <c r="G13" s="119">
        <v>4782</v>
      </c>
      <c r="H13" s="119">
        <v>4782</v>
      </c>
    </row>
    <row r="14" spans="1:8" ht="15.75">
      <c r="A14" s="66" t="s">
        <v>30</v>
      </c>
      <c r="B14" s="68" t="s">
        <v>31</v>
      </c>
      <c r="C14" s="119">
        <v>262</v>
      </c>
      <c r="D14" s="119">
        <v>276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9</v>
      </c>
      <c r="D16" s="119">
        <v>11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93</v>
      </c>
      <c r="D17" s="119">
        <v>107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256+3675</f>
        <v>3931</v>
      </c>
      <c r="D19" s="119">
        <f>285+3652</f>
        <v>3937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7095</v>
      </c>
      <c r="D20" s="336">
        <f>SUM(D12:D19)</f>
        <v>7172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8260</v>
      </c>
      <c r="H21" s="119">
        <v>8260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2084</v>
      </c>
      <c r="H22" s="352">
        <f>SUM(H23:H25)</f>
        <v>2084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894</v>
      </c>
      <c r="H23" s="119">
        <v>894</v>
      </c>
    </row>
    <row r="24" spans="1:13" ht="15.75">
      <c r="A24" s="66" t="s">
        <v>67</v>
      </c>
      <c r="B24" s="68" t="s">
        <v>68</v>
      </c>
      <c r="C24" s="119">
        <v>6510</v>
      </c>
      <c r="D24" s="119">
        <v>6375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5</v>
      </c>
      <c r="D25" s="119">
        <v>6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35174</v>
      </c>
      <c r="H26" s="336">
        <f>H20+H21+H22</f>
        <v>35174</v>
      </c>
      <c r="M26" s="74"/>
    </row>
    <row r="27" spans="1:8" ht="15.75">
      <c r="A27" s="66" t="s">
        <v>79</v>
      </c>
      <c r="B27" s="68" t="s">
        <v>80</v>
      </c>
      <c r="C27" s="119">
        <v>10896</v>
      </c>
      <c r="D27" s="119">
        <f>6717+3981+87+99</f>
        <v>10884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17411</v>
      </c>
      <c r="D28" s="336">
        <f>SUM(D24:D27)</f>
        <v>17265</v>
      </c>
      <c r="E28" s="124" t="s">
        <v>84</v>
      </c>
      <c r="F28" s="69" t="s">
        <v>85</v>
      </c>
      <c r="G28" s="333">
        <f>SUM(G29:G31)</f>
        <v>-16505</v>
      </c>
      <c r="H28" s="334">
        <f>SUM(H29:H31)</f>
        <v>-16547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1000</v>
      </c>
      <c r="H29" s="119">
        <f>1052-94</f>
        <v>958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-17505</v>
      </c>
      <c r="H30" s="119">
        <f>-13568-3937</f>
        <v>-17505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42</v>
      </c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>
        <v>-466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-16971</v>
      </c>
      <c r="H34" s="336">
        <f>H28+H32+H33</f>
        <v>-16505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22985</v>
      </c>
      <c r="H37" s="338">
        <f>H26+H18+H34</f>
        <v>23451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863</v>
      </c>
      <c r="H40" s="321">
        <v>874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11942</v>
      </c>
      <c r="H44" s="119">
        <v>11811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166</v>
      </c>
      <c r="H49" s="119">
        <v>174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12108</v>
      </c>
      <c r="H50" s="334">
        <f>SUM(H44:H49)</f>
        <v>11985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1101</v>
      </c>
      <c r="H54" s="118">
        <v>1101</v>
      </c>
    </row>
    <row r="55" spans="1:8" ht="15.75">
      <c r="A55" s="76" t="s">
        <v>166</v>
      </c>
      <c r="B55" s="72" t="s">
        <v>167</v>
      </c>
      <c r="C55" s="246">
        <v>709</v>
      </c>
      <c r="D55" s="247">
        <v>709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31955</v>
      </c>
      <c r="D56" s="340">
        <f>D20+D21+D22+D28+D33+D46+D52+D54+D55</f>
        <v>31886</v>
      </c>
      <c r="E56" s="76" t="s">
        <v>529</v>
      </c>
      <c r="F56" s="75" t="s">
        <v>172</v>
      </c>
      <c r="G56" s="337">
        <f>G50+G52+G53+G54+G55</f>
        <v>13209</v>
      </c>
      <c r="H56" s="338">
        <f>H50+H52+H53+H54+H55</f>
        <v>13086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</v>
      </c>
      <c r="D59" s="119">
        <v>6</v>
      </c>
      <c r="E59" s="123" t="s">
        <v>180</v>
      </c>
      <c r="F59" s="254" t="s">
        <v>181</v>
      </c>
      <c r="G59" s="119">
        <v>668</v>
      </c>
      <c r="H59" s="119">
        <v>716</v>
      </c>
    </row>
    <row r="60" spans="1:13" ht="15.75">
      <c r="A60" s="66" t="s">
        <v>178</v>
      </c>
      <c r="B60" s="68" t="s">
        <v>179</v>
      </c>
      <c r="C60" s="119">
        <v>35</v>
      </c>
      <c r="D60" s="119">
        <v>23</v>
      </c>
      <c r="E60" s="66" t="s">
        <v>184</v>
      </c>
      <c r="F60" s="69" t="s">
        <v>185</v>
      </c>
      <c r="G60" s="119">
        <v>271</v>
      </c>
      <c r="H60" s="119">
        <v>296</v>
      </c>
      <c r="M60" s="74"/>
    </row>
    <row r="61" spans="1:8" ht="15.75">
      <c r="A61" s="66" t="s">
        <v>182</v>
      </c>
      <c r="B61" s="68" t="s">
        <v>183</v>
      </c>
      <c r="C61" s="119">
        <v>37</v>
      </c>
      <c r="D61" s="119">
        <v>37</v>
      </c>
      <c r="E61" s="122" t="s">
        <v>188</v>
      </c>
      <c r="F61" s="69" t="s">
        <v>189</v>
      </c>
      <c r="G61" s="333">
        <f>SUM(G62:G68)</f>
        <v>16604</v>
      </c>
      <c r="H61" s="334">
        <f>SUM(H62:H68)</f>
        <v>16723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9603</v>
      </c>
      <c r="H62" s="119">
        <v>9507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2185</v>
      </c>
      <c r="H63" s="119">
        <v>2162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1265</v>
      </c>
      <c r="H64" s="119">
        <v>1876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77</v>
      </c>
      <c r="D65" s="336">
        <f>SUM(D59:D64)</f>
        <v>66</v>
      </c>
      <c r="E65" s="66" t="s">
        <v>201</v>
      </c>
      <c r="F65" s="69" t="s">
        <v>202</v>
      </c>
      <c r="G65" s="119">
        <v>1548</v>
      </c>
      <c r="H65" s="119">
        <v>1314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850</v>
      </c>
      <c r="H66" s="119">
        <f>1240-334</f>
        <v>906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526</v>
      </c>
      <c r="H67" s="119">
        <v>334</v>
      </c>
    </row>
    <row r="68" spans="1:8" ht="15.75">
      <c r="A68" s="66" t="s">
        <v>206</v>
      </c>
      <c r="B68" s="68" t="s">
        <v>207</v>
      </c>
      <c r="C68" s="119">
        <v>79</v>
      </c>
      <c r="D68" s="119">
        <v>90</v>
      </c>
      <c r="E68" s="66" t="s">
        <v>212</v>
      </c>
      <c r="F68" s="69" t="s">
        <v>213</v>
      </c>
      <c r="G68" s="119">
        <f>510+117</f>
        <v>627</v>
      </c>
      <c r="H68" s="119">
        <f>119+505</f>
        <v>624</v>
      </c>
    </row>
    <row r="69" spans="1:8" ht="15.75">
      <c r="A69" s="66" t="s">
        <v>210</v>
      </c>
      <c r="B69" s="68" t="s">
        <v>211</v>
      </c>
      <c r="C69" s="119">
        <v>2472</v>
      </c>
      <c r="D69" s="119">
        <v>2741</v>
      </c>
      <c r="E69" s="123" t="s">
        <v>79</v>
      </c>
      <c r="F69" s="69" t="s">
        <v>216</v>
      </c>
      <c r="G69" s="119">
        <f>18+8</f>
        <v>26</v>
      </c>
      <c r="H69" s="119">
        <v>36</v>
      </c>
    </row>
    <row r="70" spans="1:8" ht="15.75">
      <c r="A70" s="66" t="s">
        <v>214</v>
      </c>
      <c r="B70" s="68" t="s">
        <v>215</v>
      </c>
      <c r="C70" s="119">
        <v>113</v>
      </c>
      <c r="D70" s="119">
        <v>112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354</v>
      </c>
      <c r="D71" s="119">
        <v>332</v>
      </c>
      <c r="E71" s="242" t="s">
        <v>47</v>
      </c>
      <c r="F71" s="71" t="s">
        <v>223</v>
      </c>
      <c r="G71" s="335">
        <f>G59+G60+G61+G69+G70</f>
        <v>17569</v>
      </c>
      <c r="H71" s="336">
        <f>H59+H60+H61+H69+H70</f>
        <v>17771</v>
      </c>
    </row>
    <row r="72" spans="1:8" ht="15.75">
      <c r="A72" s="66" t="s">
        <v>221</v>
      </c>
      <c r="B72" s="68" t="s">
        <v>222</v>
      </c>
      <c r="C72" s="119">
        <v>29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16+2+3539+158+3+4</f>
        <v>3722</v>
      </c>
      <c r="D75" s="119">
        <f>88+2+3750+137</f>
        <v>3977</v>
      </c>
      <c r="E75" s="253" t="s">
        <v>160</v>
      </c>
      <c r="F75" s="71" t="s">
        <v>233</v>
      </c>
      <c r="G75" s="246">
        <v>1175</v>
      </c>
      <c r="H75" s="247">
        <v>1233</v>
      </c>
    </row>
    <row r="76" spans="1:8" ht="15.75">
      <c r="A76" s="250" t="s">
        <v>77</v>
      </c>
      <c r="B76" s="72" t="s">
        <v>232</v>
      </c>
      <c r="C76" s="335">
        <f>SUM(C68:C75)</f>
        <v>6769</v>
      </c>
      <c r="D76" s="336">
        <f>SUM(D68:D75)</f>
        <v>7281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293</v>
      </c>
      <c r="H77" s="247">
        <v>252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19037</v>
      </c>
      <c r="H79" s="338">
        <f>H71+H73+H75+H77</f>
        <v>19256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15980</v>
      </c>
      <c r="D83" s="119">
        <v>15980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15980</v>
      </c>
      <c r="D85" s="336">
        <f>D84+D83+D79</f>
        <v>15980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83</v>
      </c>
      <c r="D88" s="119">
        <v>72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917</v>
      </c>
      <c r="D89" s="119">
        <v>1024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1000</v>
      </c>
      <c r="D92" s="336">
        <f>SUM(D88:D91)</f>
        <v>1096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313</v>
      </c>
      <c r="D93" s="247">
        <v>358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24139</v>
      </c>
      <c r="D94" s="340">
        <f>D65+D76+D85+D92+D93</f>
        <v>24781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56094</v>
      </c>
      <c r="D95" s="342">
        <f>D94+D56</f>
        <v>56667</v>
      </c>
      <c r="E95" s="150" t="s">
        <v>605</v>
      </c>
      <c r="F95" s="257" t="s">
        <v>268</v>
      </c>
      <c r="G95" s="341">
        <f>G37+G40+G56+G79</f>
        <v>56094</v>
      </c>
      <c r="H95" s="342">
        <f>H37+H40+H56+H79</f>
        <v>56667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7">
        <f>pdeReportingDate</f>
        <v>44701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Димитрова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640</v>
      </c>
      <c r="C103" s="436"/>
      <c r="D103" s="436"/>
      <c r="E103" s="436"/>
      <c r="M103" s="74"/>
    </row>
    <row r="104" spans="1:5" ht="21.75" customHeight="1">
      <c r="A104" s="431"/>
      <c r="B104" s="436" t="s">
        <v>640</v>
      </c>
      <c r="C104" s="436"/>
      <c r="D104" s="436"/>
      <c r="E104" s="436"/>
    </row>
    <row r="105" spans="1:13" ht="21.75" customHeight="1">
      <c r="A105" s="431"/>
      <c r="B105" s="436" t="s">
        <v>640</v>
      </c>
      <c r="C105" s="436"/>
      <c r="D105" s="436"/>
      <c r="E105" s="436"/>
      <c r="M105" s="74"/>
    </row>
    <row r="106" spans="1:5" ht="21.75" customHeight="1">
      <c r="A106" s="431"/>
      <c r="B106" s="436" t="s">
        <v>640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A41" sqref="A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270</v>
      </c>
      <c r="D12" s="237">
        <v>174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1885</v>
      </c>
      <c r="D13" s="237">
        <v>1557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141</v>
      </c>
      <c r="D14" s="237">
        <v>146</v>
      </c>
      <c r="E14" s="166" t="s">
        <v>285</v>
      </c>
      <c r="F14" s="161" t="s">
        <v>286</v>
      </c>
      <c r="G14" s="237">
        <v>3927</v>
      </c>
      <c r="H14" s="237">
        <v>3961</v>
      </c>
    </row>
    <row r="15" spans="1:8" ht="15.75">
      <c r="A15" s="116" t="s">
        <v>287</v>
      </c>
      <c r="B15" s="112" t="s">
        <v>288</v>
      </c>
      <c r="C15" s="237">
        <v>1826</v>
      </c>
      <c r="D15" s="237">
        <v>1858</v>
      </c>
      <c r="E15" s="166" t="s">
        <v>79</v>
      </c>
      <c r="F15" s="161" t="s">
        <v>289</v>
      </c>
      <c r="G15" s="237">
        <v>3</v>
      </c>
      <c r="H15" s="237">
        <v>27</v>
      </c>
    </row>
    <row r="16" spans="1:8" ht="15.75">
      <c r="A16" s="116" t="s">
        <v>290</v>
      </c>
      <c r="B16" s="112" t="s">
        <v>291</v>
      </c>
      <c r="C16" s="237">
        <v>302</v>
      </c>
      <c r="D16" s="237">
        <v>312</v>
      </c>
      <c r="E16" s="157" t="s">
        <v>52</v>
      </c>
      <c r="F16" s="185" t="s">
        <v>292</v>
      </c>
      <c r="G16" s="366">
        <f>SUM(G12:G15)</f>
        <v>3930</v>
      </c>
      <c r="H16" s="367">
        <f>SUM(H12:H15)</f>
        <v>3988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338</v>
      </c>
      <c r="H18" s="378">
        <v>714</v>
      </c>
    </row>
    <row r="19" spans="1:8" ht="15.75">
      <c r="A19" s="116" t="s">
        <v>299</v>
      </c>
      <c r="B19" s="112" t="s">
        <v>300</v>
      </c>
      <c r="C19" s="237">
        <v>40</v>
      </c>
      <c r="D19" s="237">
        <v>90</v>
      </c>
      <c r="E19" s="116" t="s">
        <v>301</v>
      </c>
      <c r="F19" s="158" t="s">
        <v>302</v>
      </c>
      <c r="G19" s="237">
        <v>338</v>
      </c>
      <c r="H19" s="238">
        <v>714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4464</v>
      </c>
      <c r="D22" s="367">
        <f>SUM(D12:D18)+D19</f>
        <v>4137</v>
      </c>
      <c r="E22" s="116" t="s">
        <v>309</v>
      </c>
      <c r="F22" s="158" t="s">
        <v>310</v>
      </c>
      <c r="G22" s="237">
        <v>16</v>
      </c>
      <c r="H22" s="238">
        <v>31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278</v>
      </c>
      <c r="D25" s="237">
        <v>288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15</v>
      </c>
      <c r="D27" s="237">
        <v>31</v>
      </c>
      <c r="E27" s="157" t="s">
        <v>104</v>
      </c>
      <c r="F27" s="159" t="s">
        <v>326</v>
      </c>
      <c r="G27" s="366">
        <f>SUM(G22:G26)</f>
        <v>16</v>
      </c>
      <c r="H27" s="367">
        <f>SUM(H22:H26)</f>
        <v>31</v>
      </c>
    </row>
    <row r="28" spans="1:8" ht="15.75">
      <c r="A28" s="116" t="s">
        <v>79</v>
      </c>
      <c r="B28" s="158" t="s">
        <v>327</v>
      </c>
      <c r="C28" s="237">
        <v>4</v>
      </c>
      <c r="D28" s="237">
        <f>20+4</f>
        <v>24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297</v>
      </c>
      <c r="D29" s="367">
        <f>SUM(D25:D28)</f>
        <v>343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4761</v>
      </c>
      <c r="D31" s="373">
        <f>D29+D22</f>
        <v>4480</v>
      </c>
      <c r="E31" s="172" t="s">
        <v>521</v>
      </c>
      <c r="F31" s="187" t="s">
        <v>331</v>
      </c>
      <c r="G31" s="174">
        <f>G16+G18+G27</f>
        <v>4284</v>
      </c>
      <c r="H31" s="175">
        <f>H16+H18+H27</f>
        <v>4733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253</v>
      </c>
      <c r="E33" s="154" t="s">
        <v>334</v>
      </c>
      <c r="F33" s="159" t="s">
        <v>335</v>
      </c>
      <c r="G33" s="366">
        <f>IF((C31-G31)&gt;0,C31-G31,0)</f>
        <v>477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4761</v>
      </c>
      <c r="D36" s="375">
        <f>D31-D34+D35</f>
        <v>4480</v>
      </c>
      <c r="E36" s="183" t="s">
        <v>346</v>
      </c>
      <c r="F36" s="177" t="s">
        <v>347</v>
      </c>
      <c r="G36" s="188">
        <f>G35-G34+G31</f>
        <v>4284</v>
      </c>
      <c r="H36" s="189">
        <f>H35-H34+H31</f>
        <v>4733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253</v>
      </c>
      <c r="E37" s="182" t="s">
        <v>350</v>
      </c>
      <c r="F37" s="187" t="s">
        <v>351</v>
      </c>
      <c r="G37" s="174">
        <f>IF((C36-G36)&gt;0,C36-G36,0)</f>
        <v>477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253</v>
      </c>
      <c r="E42" s="168" t="s">
        <v>362</v>
      </c>
      <c r="F42" s="117" t="s">
        <v>363</v>
      </c>
      <c r="G42" s="162">
        <f>IF(G37&gt;0,IF(C38+G37&lt;0,0,C38+G37),IF(C37-C38&lt;0,C38-C37,0))</f>
        <v>477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8</v>
      </c>
      <c r="E43" s="154" t="s">
        <v>364</v>
      </c>
      <c r="F43" s="117" t="s">
        <v>366</v>
      </c>
      <c r="G43" s="323">
        <v>11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245</v>
      </c>
      <c r="E44" s="183" t="s">
        <v>369</v>
      </c>
      <c r="F44" s="190" t="s">
        <v>370</v>
      </c>
      <c r="G44" s="188">
        <f>IF(C42=0,IF(G42-G43&gt;0,G42-G43+C43,0),IF(C42-C43&lt;0,C43-C42+G43,0))</f>
        <v>466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4761</v>
      </c>
      <c r="D45" s="369">
        <f>D36+D38+D42</f>
        <v>4733</v>
      </c>
      <c r="E45" s="191" t="s">
        <v>373</v>
      </c>
      <c r="F45" s="193" t="s">
        <v>374</v>
      </c>
      <c r="G45" s="368">
        <f>G42+G36</f>
        <v>4761</v>
      </c>
      <c r="H45" s="369">
        <f>H42+H36</f>
        <v>4733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7">
        <f>pdeReportingDate</f>
        <v>44701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Димитрова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640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4943</v>
      </c>
      <c r="D11" s="119">
        <v>4281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-3121</v>
      </c>
      <c r="D12" s="119">
        <v>-2188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-1861</v>
      </c>
      <c r="D14" s="119">
        <v>-2125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-538</v>
      </c>
      <c r="D15" s="119">
        <v>-914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</v>
      </c>
      <c r="D20" s="119">
        <v>-2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-583</v>
      </c>
      <c r="D21" s="397">
        <f>SUM(D11:D20)</f>
        <v>-948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-37-173</f>
        <v>-210</v>
      </c>
      <c r="D23" s="119">
        <f>-2-140</f>
        <v>-142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-17</v>
      </c>
      <c r="D25" s="119">
        <v>-27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-324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400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173</v>
      </c>
      <c r="D33" s="397">
        <f>SUM(D23:D32)</f>
        <v>-493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1090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-67</v>
      </c>
      <c r="D38" s="119">
        <v>-196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-39</v>
      </c>
      <c r="D39" s="119">
        <v>-69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-1-10</f>
        <v>-11</v>
      </c>
      <c r="D40" s="119">
        <f>-24-4</f>
        <v>-28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431</v>
      </c>
      <c r="D42" s="119">
        <v>696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314</v>
      </c>
      <c r="D43" s="399">
        <f>SUM(D35:D42)</f>
        <v>1493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-96</v>
      </c>
      <c r="D44" s="228">
        <f>D43+D33+D21</f>
        <v>52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1096</v>
      </c>
      <c r="D45" s="230">
        <v>782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1000</v>
      </c>
      <c r="D46" s="232">
        <f>D45+D44</f>
        <v>834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1000</v>
      </c>
      <c r="D47" s="219">
        <v>834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7">
        <f>pdeReportingDate</f>
        <v>44701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Димитрова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640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1.5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1.5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8260</v>
      </c>
      <c r="F13" s="322">
        <f>'1-Баланс'!H23</f>
        <v>894</v>
      </c>
      <c r="G13" s="322">
        <f>'1-Баланс'!H24</f>
        <v>0</v>
      </c>
      <c r="H13" s="323">
        <v>1190</v>
      </c>
      <c r="I13" s="322">
        <f>'1-Баланс'!H29+'1-Баланс'!H32</f>
        <v>1000</v>
      </c>
      <c r="J13" s="322">
        <f>'1-Баланс'!H30+'1-Баланс'!H33</f>
        <v>-17505</v>
      </c>
      <c r="K13" s="323"/>
      <c r="L13" s="322">
        <f>SUM(C13:K13)</f>
        <v>23451</v>
      </c>
      <c r="M13" s="324">
        <f>'1-Баланс'!H40</f>
        <v>874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4782</v>
      </c>
      <c r="D17" s="391">
        <f aca="true" t="shared" si="2" ref="D17:M17">D13+D14</f>
        <v>24830</v>
      </c>
      <c r="E17" s="391">
        <f t="shared" si="2"/>
        <v>8260</v>
      </c>
      <c r="F17" s="391">
        <f t="shared" si="2"/>
        <v>894</v>
      </c>
      <c r="G17" s="391">
        <f t="shared" si="2"/>
        <v>0</v>
      </c>
      <c r="H17" s="391">
        <f t="shared" si="2"/>
        <v>1190</v>
      </c>
      <c r="I17" s="391">
        <f t="shared" si="2"/>
        <v>1000</v>
      </c>
      <c r="J17" s="391">
        <f t="shared" si="2"/>
        <v>-17505</v>
      </c>
      <c r="K17" s="391">
        <f t="shared" si="2"/>
        <v>0</v>
      </c>
      <c r="L17" s="322">
        <f t="shared" si="1"/>
        <v>23451</v>
      </c>
      <c r="M17" s="392">
        <f t="shared" si="2"/>
        <v>874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-466</v>
      </c>
      <c r="K18" s="323"/>
      <c r="L18" s="322">
        <f t="shared" si="1"/>
        <v>-466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4782</v>
      </c>
      <c r="D31" s="391">
        <f aca="true" t="shared" si="6" ref="D31:M31">D19+D22+D23+D26+D30+D29+D17+D18</f>
        <v>24830</v>
      </c>
      <c r="E31" s="391">
        <f t="shared" si="6"/>
        <v>8260</v>
      </c>
      <c r="F31" s="391">
        <f t="shared" si="6"/>
        <v>894</v>
      </c>
      <c r="G31" s="391">
        <f t="shared" si="6"/>
        <v>0</v>
      </c>
      <c r="H31" s="391">
        <f t="shared" si="6"/>
        <v>1190</v>
      </c>
      <c r="I31" s="391">
        <f t="shared" si="6"/>
        <v>1000</v>
      </c>
      <c r="J31" s="391">
        <f t="shared" si="6"/>
        <v>-17971</v>
      </c>
      <c r="K31" s="391">
        <f t="shared" si="6"/>
        <v>0</v>
      </c>
      <c r="L31" s="322">
        <f t="shared" si="1"/>
        <v>22985</v>
      </c>
      <c r="M31" s="392">
        <f t="shared" si="6"/>
        <v>874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8260</v>
      </c>
      <c r="F34" s="325">
        <f t="shared" si="7"/>
        <v>894</v>
      </c>
      <c r="G34" s="325">
        <f t="shared" si="7"/>
        <v>0</v>
      </c>
      <c r="H34" s="325">
        <f t="shared" si="7"/>
        <v>1190</v>
      </c>
      <c r="I34" s="325">
        <f t="shared" si="7"/>
        <v>1000</v>
      </c>
      <c r="J34" s="325">
        <f t="shared" si="7"/>
        <v>-17971</v>
      </c>
      <c r="K34" s="325">
        <f t="shared" si="7"/>
        <v>0</v>
      </c>
      <c r="L34" s="389">
        <f t="shared" si="1"/>
        <v>22985</v>
      </c>
      <c r="M34" s="326">
        <f>M31+M32+M33</f>
        <v>874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7">
        <f>pdeReportingDate</f>
        <v>44701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Димитрова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640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56094</v>
      </c>
      <c r="D6" s="412">
        <f aca="true" t="shared" si="0" ref="D6:D15">C6-E6</f>
        <v>0</v>
      </c>
      <c r="E6" s="411">
        <f>'1-Баланс'!G95</f>
        <v>56094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22985</v>
      </c>
      <c r="D7" s="412">
        <f t="shared" si="0"/>
        <v>18203</v>
      </c>
      <c r="E7" s="411">
        <f>'1-Баланс'!G18</f>
        <v>4782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-466</v>
      </c>
      <c r="D8" s="412">
        <f t="shared" si="0"/>
        <v>0</v>
      </c>
      <c r="E8" s="411">
        <f>ABS('2-Отчет за доходите'!C44)-ABS('2-Отчет за доходите'!G44)</f>
        <v>-466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1096</v>
      </c>
      <c r="D9" s="412">
        <f t="shared" si="0"/>
        <v>0</v>
      </c>
      <c r="E9" s="411">
        <f>'3-Отчет за паричния поток'!C45</f>
        <v>1096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1000</v>
      </c>
      <c r="D10" s="412">
        <f t="shared" si="0"/>
        <v>0</v>
      </c>
      <c r="E10" s="411">
        <f>'3-Отчет за паричния поток'!C46</f>
        <v>1000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22985</v>
      </c>
      <c r="D11" s="412">
        <f t="shared" si="0"/>
        <v>0</v>
      </c>
      <c r="E11" s="411">
        <f>'4-Отчет за собствения капитал'!L34</f>
        <v>22985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-0.11857506361323156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-0.020274091798999347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-0.014451404825404702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-0.00830748386636717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0.8998109640831758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1.2680044124599463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1.2475179912801386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0.8919472605977833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0.05252928507643011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0.1444481199691256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0.07006096908760295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0.36494999171133335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1.4029149445290405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0.5748564908902913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278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0.012094844463780726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0.09780578898225957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76.95942720763723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2706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262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9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93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3931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7095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6510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10896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17411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709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31955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37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77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79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2472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113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354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29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3722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6769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15980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15980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83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917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1000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313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24139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56094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8260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2084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894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35174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-16505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1000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-17505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-466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-16971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22985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863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11942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166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12108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1101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13209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668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271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16604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9603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2185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1265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1548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850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526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627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17569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1175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293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19037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56094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270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1885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141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1826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302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40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4464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278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15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297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4761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4761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4761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3927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3930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338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338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4284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477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4284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477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477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11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466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4761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4943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-3121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-1861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-538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-583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-210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-17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400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173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-67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-39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-11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431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314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-96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1096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1000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1000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8260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8260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8260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8260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894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894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894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894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1000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1000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1000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1000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-17505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-17505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-466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-17971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-17971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23451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23451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-466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22985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22985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874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874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874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874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2022-05-25T08:13:09Z</dcterms:modified>
  <cp:category/>
  <cp:version/>
  <cp:contentType/>
  <cp:contentStatus/>
</cp:coreProperties>
</file>