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75" windowWidth="15375" windowHeight="226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 iterate="1" iterateCount="500" iterateDelta="0.00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<sst xmlns="http://schemas.openxmlformats.org/spreadsheetml/2006/main" count="4191" uniqueCount="974">
  <si>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</si>
  <si>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</si>
  <si>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</si>
  <si>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</si>
  <si>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</si>
  <si>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</si>
  <si>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</si>
  <si>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</si>
  <si>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</si>
  <si>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</si>
  <si>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</si>
  <si>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</si>
  <si>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</si>
  <si>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</si>
  <si>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</si>
  <si>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</si>
  <si>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</si>
  <si>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</si>
  <si>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</si>
  <si>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</si>
  <si>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</si>
  <si>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</si>
  <si>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</si>
  <si>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</si>
  <si>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</si>
  <si>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</si>
  <si>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</si>
  <si>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</si>
  <si>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</si>
  <si>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</si>
  <si>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</si>
  <si>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</si>
  <si>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</si>
  <si>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</si>
  <si>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</si>
  <si>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</si>
  <si>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</si>
  <si>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</si>
  <si>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</si>
  <si>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</si>
  <si>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</si>
  <si>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</si>
  <si>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</si>
  <si>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</si>
  <si>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</si>
  <si>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</si>
  <si>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</si>
  <si>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</si>
  <si>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</si>
  <si>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</si>
  <si>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</si>
  <si>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</si>
  <si>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</si>
  <si>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</si>
  <si>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</si>
  <si>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</si>
  <si>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</si>
  <si>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</si>
  <si>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</si>
  <si>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</si>
  <si>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</si>
  <si>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</si>
  <si>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</si>
  <si>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</si>
  <si>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</si>
  <si>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</si>
  <si>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</si>
  <si>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</si>
  <si>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</si>
  <si>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</si>
  <si>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</si>
  <si>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</si>
  <si>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</si>
  <si>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</si>
  <si>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</si>
  <si>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</si>
  <si>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</si>
  <si>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</si>
  <si>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</si>
  <si>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</si>
  <si>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</si>
  <si>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</si>
  <si>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</si>
  <si>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</si>
  <si>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</si>
  <si>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</si>
  <si>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</si>
  <si>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</si>
  <si>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</si>
  <si>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</si>
  <si>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</si>
  <si>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</si>
  <si>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</si>
  <si>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</si>
  <si>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</si>
  <si>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</si>
  <si>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</si>
  <si>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</si>
  <si>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</si>
  <si>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</si>
  <si>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</si>
  <si>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</si>
  <si>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</si>
  <si>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</si>
  <si>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</si>
  <si>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</si>
  <si>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</si>
  <si>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</si>
  <si>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</si>
  <si>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</si>
  <si>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</si>
  <si>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</si>
  <si>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</si>
  <si>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</si>
  <si>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</si>
  <si>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</si>
  <si>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</si>
  <si>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</si>
  <si>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</si>
  <si>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</si>
  <si>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</si>
  <si>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</si>
  <si>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</si>
  <si>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</si>
  <si>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</si>
  <si>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</si>
  <si>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</si>
  <si>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</si>
  <si>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</si>
  <si>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</si>
  <si>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</si>
  <si>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</si>
  <si>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</si>
  <si>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</si>
  <si>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</si>
  <si>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</si>
  <si>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</si>
  <si>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</si>
  <si>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</si>
  <si>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</si>
  <si>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</si>
  <si>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</si>
  <si>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</si>
  <si>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</si>
  <si>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</si>
  <si>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</si>
  <si>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</si>
  <si>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</si>
  <si>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</si>
  <si>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</si>
  <si>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</si>
  <si>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</si>
  <si>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</si>
  <si>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</si>
  <si>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</si>
  <si>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</si>
  <si>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</si>
  <si>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</si>
  <si>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</si>
  <si>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</si>
  <si>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</si>
  <si>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</si>
  <si>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</si>
  <si>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</si>
  <si>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</si>
  <si>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</si>
  <si>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</si>
  <si>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</si>
  <si>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</si>
  <si>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</si>
  <si>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</si>
  <si>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</si>
  <si>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</si>
  <si>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</si>
  <si>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</si>
  <si>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</si>
  <si>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</si>
  <si>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</si>
  <si>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</si>
  <si>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</si>
  <si>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</si>
  <si>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</si>
  <si>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</si>
  <si>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</si>
  <si>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</si>
  <si>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</si>
  <si>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</si>
  <si>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</si>
  <si>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</si>
  <si>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</si>
  <si>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</si>
  <si>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</si>
  <si>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</si>
  <si>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</si>
  <si>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</si>
  <si>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</si>
  <si>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</si>
  <si>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</si>
  <si>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</si>
  <si>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</si>
  <si>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</si>
  <si>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</si>
  <si>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</si>
  <si>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</si>
  <si>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</si>
  <si>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</si>
  <si>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</si>
  <si>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</si>
  <si>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</si>
  <si>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</si>
  <si>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</si>
  <si>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</si>
  <si>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</si>
  <si>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</si>
  <si>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</si>
  <si>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</si>
  <si>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</si>
  <si>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</si>
  <si>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</si>
  <si>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</si>
  <si>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</si>
  <si>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</si>
  <si>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</si>
  <si>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</si>
  <si>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</si>
  <si>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</si>
  <si>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</si>
  <si>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</si>
  <si>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</si>
  <si>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</si>
  <si>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</si>
  <si>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</si>
  <si>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</si>
  <si>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</si>
  <si>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</si>
  <si>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</si>
  <si>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</si>
  <si>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</si>
  <si>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</si>
  <si>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</si>
  <si>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</si>
  <si>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</si>
  <si>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</si>
  <si>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</si>
  <si>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</si>
  <si>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</si>
  <si>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</si>
  <si>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</si>
  <si>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</si>
  <si>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</si>
  <si>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</si>
  <si>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</si>
  <si>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</si>
  <si>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</si>
  <si>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</si>
  <si>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</si>
  <si>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</si>
  <si>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</si>
  <si>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</si>
  <si>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</si>
  <si>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</si>
  <si>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</si>
  <si>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</si>
  <si>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</si>
  <si>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</si>
  <si>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</si>
  <si>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</si>
  <si>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</si>
  <si>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</si>
  <si>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</si>
  <si>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</si>
  <si>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</si>
  <si>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</si>
  <si>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</si>
  <si>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</si>
  <si>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</si>
  <si>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</si>
  <si>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</si>
  <si>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</si>
  <si>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</si>
  <si>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</si>
  <si>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</si>
  <si>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</si>
  <si>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</si>
  <si>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</si>
  <si>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</si>
  <si>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</si>
  <si>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</si>
  <si>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</si>
  <si>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</si>
  <si>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</si>
  <si>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</si>
  <si>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</si>
  <si>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</si>
  <si>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</si>
  <si>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</si>
  <si>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</si>
  <si>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</si>
  <si>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</si>
  <si>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</si>
  <si>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</si>
  <si>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</si>
  <si>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</si>
  <si>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</si>
  <si>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</si>
  <si>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</si>
  <si>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</si>
  <si>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</si>
  <si>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</si>
  <si>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</si>
  <si>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</si>
  <si>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</si>
  <si>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</si>
  <si>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</si>
  <si>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</si>
  <si>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</si>
  <si>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</si>
  <si>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</si>
  <si>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</si>
  <si>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</si>
  <si>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</si>
  <si>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</si>
  <si>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</si>
  <si>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</si>
  <si>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</si>
  <si>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</si>
  <si>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</si>
  <si>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</si>
  <si>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</si>
  <si>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</si>
  <si>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</si>
  <si>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</si>
  <si>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</si>
  <si>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</si>
  <si>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</si>
  <si>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</si>
  <si>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</si>
  <si>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</si>
  <si>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</si>
  <si>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</si>
  <si>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</si>
  <si>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</si>
  <si>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</si>
  <si>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</si>
  <si>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</si>
  <si>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</si>
  <si>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</si>
  <si>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</si>
  <si>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</si>
  <si>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</si>
  <si>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</si>
  <si>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</si>
  <si>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</si>
  <si>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</si>
  <si>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</si>
  <si>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</si>
  <si>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</si>
  <si>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</si>
  <si>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</si>
  <si>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</si>
  <si>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</si>
  <si>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</si>
  <si>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</si>
  <si>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</si>
  <si>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</si>
  <si>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</si>
  <si>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</si>
  <si>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</si>
  <si>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</si>
  <si>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</si>
  <si>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</si>
  <si>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</si>
  <si>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</si>
  <si>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</si>
  <si>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</si>
  <si>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</si>
  <si>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</si>
  <si>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</si>
  <si>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</si>
  <si>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</si>
  <si>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</si>
  <si>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</si>
  <si>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</si>
  <si>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</si>
  <si>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</si>
  <si>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</si>
  <si>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</si>
  <si>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</si>
  <si>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</si>
  <si>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</si>
  <si>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</si>
  <si>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</si>
  <si>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</si>
  <si>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</si>
  <si>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</si>
  <si>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</si>
  <si>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</si>
  <si>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</si>
  <si>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</si>
  <si>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</si>
  <si>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</si>
  <si>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</si>
  <si>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</si>
  <si>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</si>
  <si>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</si>
  <si>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</si>
  <si>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</si>
  <si>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</si>
  <si>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</si>
  <si>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</si>
  <si>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</si>
  <si>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</si>
  <si>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</si>
  <si>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</si>
  <si>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</si>
  <si>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</si>
  <si>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</si>
  <si>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</si>
  <si>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</si>
  <si>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</si>
  <si>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</si>
  <si>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</si>
  <si>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</si>
  <si>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</si>
  <si>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</si>
  <si>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</si>
  <si>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</si>
  <si>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</si>
  <si>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</si>
  <si>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</si>
  <si>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</si>
  <si>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</si>
  <si>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</si>
  <si>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</si>
  <si>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</si>
  <si>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</si>
  <si>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</si>
  <si>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</si>
  <si>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</si>
  <si>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</si>
  <si>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</si>
  <si>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</si>
  <si>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</si>
  <si>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</si>
  <si>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</si>
  <si>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</si>
  <si>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</si>
  <si>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</si>
  <si>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</si>
  <si>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</si>
  <si>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</si>
  <si>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</si>
  <si>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</si>
  <si>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</si>
  <si>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</si>
  <si>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</si>
  <si>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</si>
  <si>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</si>
  <si>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</si>
  <si>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</si>
  <si>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</si>
  <si>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</si>
  <si>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</si>
  <si>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</si>
  <si>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</si>
  <si>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</si>
  <si>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</si>
  <si>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</si>
  <si>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</si>
  <si>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</si>
  <si>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</si>
  <si>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</si>
  <si>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</si>
  <si>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</si>
  <si>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</si>
  <si>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</si>
  <si>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</si>
  <si>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</si>
  <si>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</si>
  <si>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</si>
  <si>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</si>
  <si>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</si>
  <si>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</si>
  <si>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</si>
  <si>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</si>
  <si>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</si>
  <si>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</si>
  <si>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</si>
  <si>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</si>
  <si>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</si>
  <si>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</si>
  <si>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</si>
  <si>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</si>
  <si>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</si>
  <si>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</si>
  <si>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</si>
  <si>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</si>
  <si>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</si>
  <si>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</si>
  <si>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</si>
  <si>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</si>
  <si>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</si>
  <si>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</si>
  <si>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</si>
  <si>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</si>
  <si>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</si>
  <si>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</si>
  <si>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</si>
  <si>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</si>
  <si>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</si>
  <si>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</si>
  <si>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</si>
  <si>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</si>
  <si>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</si>
  <si>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</si>
  <si>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</si>
  <si>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</si>
  <si>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</si>
  <si>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</si>
  <si>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</si>
  <si>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</si>
  <si>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</si>
  <si>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</si>
  <si>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</si>
  <si>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</si>
  <si>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</si>
  <si>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</si>
  <si>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</si>
  <si>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</si>
  <si>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</si>
  <si>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</si>
  <si>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</si>
  <si>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</si>
  <si>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</si>
  <si>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</si>
  <si>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</si>
  <si>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</si>
  <si>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</si>
  <si>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</si>
  <si>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</si>
  <si>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</si>
  <si>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</si>
  <si>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</si>
  <si>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</si>
  <si>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</si>
  <si>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</si>
  <si>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</si>
  <si>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</si>
  <si>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</si>
  <si>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</si>
  <si>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</si>
  <si>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</si>
  <si>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</si>
  <si>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</si>
  <si>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</si>
  <si>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</si>
  <si>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</si>
  <si>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</si>
  <si>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</si>
  <si>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</si>
  <si>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</si>
  <si>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</si>
  <si>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</si>
  <si>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</si>
  <si>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</si>
  <si>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</si>
  <si>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</si>
  <si>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</si>
  <si>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</si>
  <si>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</si>
  <si>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</si>
  <si>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</si>
  <si>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</si>
  <si>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</si>
  <si>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</si>
  <si>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</si>
  <si>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</si>
  <si>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</si>
  <si>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</si>
  <si>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</si>
  <si>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</si>
  <si>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</si>
  <si>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</si>
  <si>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</si>
  <si>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</si>
  <si>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</si>
  <si>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</si>
  <si>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</si>
  <si>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</si>
  <si>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</si>
  <si>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</si>
  <si>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</si>
  <si>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</si>
  <si>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</si>
  <si>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</si>
  <si>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</si>
  <si>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</si>
  <si>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</si>
  <si>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</si>
  <si>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</si>
  <si>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</si>
  <si>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</si>
  <si>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</si>
  <si>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</si>
  <si>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</si>
  <si>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</si>
  <si>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</si>
  <si>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</si>
  <si>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</si>
  <si>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</si>
  <si>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</si>
  <si>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</si>
  <si>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</si>
  <si>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</si>
  <si>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</si>
  <si>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</si>
  <si>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</si>
  <si>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</si>
  <si>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</si>
  <si>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</si>
  <si>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</si>
  <si>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</si>
  <si>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</si>
  <si>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</si>
  <si>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</si>
  <si>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</si>
  <si>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</si>
  <si>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</si>
  <si>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</si>
  <si>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</si>
  <si>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</si>
  <si>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</si>
  <si>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</si>
  <si>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</si>
  <si>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</si>
  <si>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</si>
  <si>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</si>
  <si>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</si>
  <si>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</si>
  <si>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</si>
  <si>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</si>
  <si>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</si>
  <si>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</si>
  <si>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</si>
  <si>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</si>
  <si>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</si>
  <si>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</si>
  <si>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</si>
  <si>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</si>
  <si>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</si>
  <si>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</si>
  <si>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</si>
  <si>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</si>
  <si>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</si>
  <si>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</si>
  <si>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</si>
  <si>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</si>
  <si>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</si>
  <si>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</si>
  <si>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</si>
  <si>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</si>
  <si>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</si>
  <si>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</si>
  <si>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</si>
  <si>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</si>
  <si>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</si>
  <si>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</si>
  <si>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</si>
  <si>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</si>
  <si>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</si>
  <si>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</si>
  <si>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</si>
  <si>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</si>
  <si>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</si>
  <si>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</si>
  <si>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</si>
  <si>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</si>
  <si>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</si>
  <si>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</si>
  <si>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</si>
  <si>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</si>
  <si>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</si>
  <si>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</si>
  <si>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</si>
  <si>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</si>
  <si>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</si>
  <si>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</si>
  <si>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</si>
  <si>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</si>
  <si>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</si>
  <si>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</si>
  <si>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</si>
  <si>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</si>
  <si>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</si>
  <si>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</si>
  <si>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</si>
  <si>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</si>
  <si>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</si>
  <si>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</si>
  <si>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</si>
  <si>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</si>
  <si>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</si>
  <si>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</si>
  <si>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</si>
  <si>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</si>
  <si>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</si>
  <si>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</si>
  <si>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</si>
  <si>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</si>
  <si>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</si>
  <si>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</si>
  <si>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</si>
  <si>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</si>
  <si>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</si>
  <si>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</si>
  <si>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</si>
  <si>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</si>
  <si>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</si>
  <si>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</si>
  <si>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</si>
  <si>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</si>
  <si>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</si>
  <si>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</si>
  <si>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</si>
  <si>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</si>
  <si>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</si>
  <si>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</si>
  <si>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</si>
  <si>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</si>
  <si>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</si>
  <si>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</si>
  <si>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</si>
  <si>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</si>
  <si>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</si>
  <si>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</si>
  <si>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</si>
  <si>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</si>
  <si>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</si>
  <si>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</si>
  <si>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</si>
  <si>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</si>
  <si>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</si>
  <si>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</si>
  <si>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</si>
  <si>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</si>
  <si>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</si>
  <si>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</si>
  <si>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</si>
  <si>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</si>
  <si>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</si>
  <si>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</si>
  <si>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</si>
  <si>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</si>
  <si>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</si>
  <si>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</si>
  <si>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</si>
  <si>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</si>
  <si>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</si>
  <si>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</si>
  <si>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</si>
  <si>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</si>
  <si>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</si>
  <si>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</si>
  <si>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</si>
  <si>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</si>
  <si>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</si>
  <si>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</si>
  <si>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</si>
  <si>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</si>
  <si>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</si>
  <si>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</si>
  <si>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</si>
  <si>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</si>
  <si>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</si>
  <si>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</si>
  <si>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</si>
  <si>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</si>
  <si>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</si>
  <si>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</si>
  <si>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</si>
  <si>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</si>
  <si>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</si>
  <si>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</si>
  <si>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</si>
  <si>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</si>
  <si>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</si>
  <si>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</si>
  <si>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</si>
  <si>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</si>
  <si>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</si>
  <si>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</si>
  <si>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</si>
  <si>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</si>
  <si>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</si>
  <si>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</si>
  <si>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</si>
  <si>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</si>
  <si>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</si>
  <si>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</si>
  <si>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</si>
  <si>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</si>
  <si>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</si>
  <si>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</si>
  <si>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</si>
  <si>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</si>
  <si>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</si>
  <si>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</si>
  <si>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</si>
  <si>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</si>
  <si>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</si>
  <si>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</si>
  <si>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</si>
  <si>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</si>
  <si>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</si>
  <si>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</si>
  <si>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</si>
  <si>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</si>
  <si>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</si>
  <si>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</si>
  <si>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</si>
  <si>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</si>
  <si>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</si>
  <si>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</si>
  <si>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</si>
  <si>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</si>
  <si>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</si>
  <si>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</si>
  <si>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</si>
  <si>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</si>
  <si>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</si>
  <si>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</si>
  <si>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</si>
  <si>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</si>
  <si>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</si>
  <si>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</si>
  <si>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</si>
  <si>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</si>
  <si>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</si>
  <si>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</si>
  <si>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</si>
  <si>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</si>
  <si>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</si>
  <si>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</si>
  <si>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</si>
  <si>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</si>
  <si>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</si>
  <si>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</si>
  <si>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</si>
  <si>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</si>
  <si>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</si>
  <si>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</si>
  <si>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</si>
  <si>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</si>
  <si>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</si>
  <si>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</si>
  <si>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</si>
  <si>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</si>
  <si>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</si>
  <si>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</si>
  <si>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</si>
  <si>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</si>
  <si>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</si>
  <si>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</si>
  <si>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</si>
  <si>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</si>
  <si>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</si>
  <si>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</si>
  <si>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</si>
  <si>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</si>
  <si>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</si>
  <si>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</si>
  <si>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</si>
  <si>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</si>
  <si>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</si>
  <si>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</si>
  <si>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</si>
  <si>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</si>
  <si>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</si>
  <si>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</si>
  <si>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</si>
  <si>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</si>
  <si>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</si>
  <si>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</si>
  <si>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</si>
  <si>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</si>
  <si>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</si>
  <si>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</si>
  <si>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</si>
  <si>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</si>
  <si>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</si>
  <si>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</si>
  <si>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</si>
  <si>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</si>
  <si>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</si>
  <si>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</si>
  <si>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</si>
  <si>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</si>
  <si>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</si>
  <si>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</si>
  <si>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</si>
  <si>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</si>
  <si>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</si>
  <si>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</si>
  <si>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</si>
  <si>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</si>
  <si>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</si>
  <si>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</si>
  <si>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</si>
  <si>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</si>
  <si>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</si>
  <si>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</si>
  <si>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</si>
  <si>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</si>
  <si>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</si>
  <si>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</si>
  <si>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</si>
  <si>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</si>
  <si>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</si>
  <si>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</si>
  <si>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</si>
  <si>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</si>
  <si>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</si>
  <si>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</si>
  <si>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</si>
  <si>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</si>
  <si>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</si>
  <si>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</si>
  <si>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</si>
  <si>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</si>
  <si>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</si>
  <si>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</si>
  <si>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</si>
  <si>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</si>
  <si>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</si>
  <si>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</si>
  <si>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</si>
  <si>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</si>
  <si>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</si>
  <si>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</si>
  <si>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</si>
  <si>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</si>
  <si>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</si>
  <si>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</si>
  <si>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</si>
  <si>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</si>
  <si>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</si>
  <si>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</si>
  <si>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</si>
  <si>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</si>
  <si>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</si>
  <si>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</si>
  <si>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</si>
  <si>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</si>
  <si>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</si>
  <si>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</si>
  <si>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</si>
  <si>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</si>
  <si>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</si>
  <si>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</si>
  <si>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</si>
  <si>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</si>
  <si>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</si>
  <si>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</si>
  <si>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</si>
  <si>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</si>
  <si>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</si>
  <si>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</si>
  <si>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</si>
  <si>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</si>
  <si>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</si>
  <si>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</si>
  <si>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</si>
  <si>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Валентина Димитрова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</si>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</sst>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3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23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 applyProtection="1">
      <alignment horizontal="center" vertical="center"/>
      <protection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12" fillId="0" borderId="49" xfId="69" applyNumberFormat="1" applyFont="1" applyFill="1" applyBorder="1" applyAlignment="1" applyProtection="1">
      <alignment horizontal="centerContinuous"/>
      <protection/>
    </xf>
    <xf numFmtId="0" fontId="18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9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51" xfId="55" applyNumberFormat="1" applyFont="1" applyFill="1" applyBorder="1" applyAlignment="1" applyProtection="1">
      <alignment/>
      <protection locked="0"/>
    </xf>
    <xf numFmtId="49" fontId="30" fillId="35" borderId="11" xfId="55" applyNumberFormat="1" applyFont="1" applyFill="1" applyBorder="1" applyAlignment="1" applyProtection="1">
      <alignment/>
      <protection locked="0"/>
    </xf>
    <xf numFmtId="49" fontId="3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936</v>
      </c>
      <c r="B1" s="2"/>
      <c r="Z1" s="664">
        <v>1</v>
      </c>
      <c r="AA1" s="665">
        <f>IF(ISBLANK(_endDate),"",_endDate)</f>
        <v>45291</v>
      </c>
    </row>
    <row r="2" spans="1:27" ht="15.75">
      <c r="A2" s="652" t="s">
        <v>937</v>
      </c>
      <c r="B2" s="647"/>
      <c r="Z2" s="664">
        <v>2</v>
      </c>
      <c r="AA2" s="665">
        <f>IF(ISBLANK(_pdeReportingDate),"",_pdeReportingDate)</f>
        <v>45398</v>
      </c>
    </row>
    <row r="3" spans="1:27" ht="15.75">
      <c r="A3" s="648" t="s">
        <v>934</v>
      </c>
      <c r="B3" s="649"/>
      <c r="Z3" s="664">
        <v>3</v>
      </c>
      <c r="AA3" s="665" t="str">
        <f>IF(ISBLANK(_authorName),"",_authorName)</f>
        <v>Валентина Димитрова</v>
      </c>
    </row>
    <row r="4" spans="1:2" ht="15.75">
      <c r="A4" s="646" t="s">
        <v>961</v>
      </c>
      <c r="B4" s="647"/>
    </row>
    <row r="5" spans="1:2" ht="47.25">
      <c r="A5" s="650" t="s">
        <v>902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45291</v>
      </c>
    </row>
    <row r="11" spans="1:2" ht="15.75">
      <c r="A11" s="7" t="s">
        <v>949</v>
      </c>
      <c r="B11" s="547">
        <v>45398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 t="s">
        <v>968</v>
      </c>
    </row>
    <row r="23" spans="1:2" ht="15.75">
      <c r="A23" s="10" t="s">
        <v>7</v>
      </c>
      <c r="B23" s="654" t="s">
        <v>969</v>
      </c>
    </row>
    <row r="24" spans="1:2" ht="15.75">
      <c r="A24" s="10" t="s">
        <v>892</v>
      </c>
      <c r="B24" s="655" t="s">
        <v>970</v>
      </c>
    </row>
    <row r="25" spans="1:2" ht="15.75">
      <c r="A25" s="7" t="s">
        <v>895</v>
      </c>
      <c r="B25" s="656" t="s">
        <v>971</v>
      </c>
    </row>
    <row r="26" spans="1:2" ht="15.75">
      <c r="A26" s="10" t="s">
        <v>942</v>
      </c>
      <c r="B26" s="548" t="s">
        <v>972</v>
      </c>
    </row>
    <row r="27" spans="1:2" ht="15.75">
      <c r="A27" s="10" t="s">
        <v>943</v>
      </c>
      <c r="B27" s="548" t="s">
        <v>973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0.011259051623452464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0.01033580649311661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0.006758083059925409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0.004053690372064859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1.022965572865815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0.8207749627421759</v>
      </c>
    </row>
    <row r="11" spans="1:4" ht="63">
      <c r="A11" s="561">
        <v>7</v>
      </c>
      <c r="B11" s="559" t="s">
        <v>872</v>
      </c>
      <c r="C11" s="560" t="s">
        <v>938</v>
      </c>
      <c r="D11" s="609">
        <f>('1-Баланс'!C76+'1-Баланс'!C85+'1-Баланс'!C92)/'1-Баланс'!G79</f>
        <v>0.8003576751117735</v>
      </c>
    </row>
    <row r="12" spans="1:4" ht="47.25">
      <c r="A12" s="561">
        <v>8</v>
      </c>
      <c r="B12" s="559" t="s">
        <v>873</v>
      </c>
      <c r="C12" s="560" t="s">
        <v>939</v>
      </c>
      <c r="D12" s="609">
        <f>('1-Баланс'!C85+'1-Баланс'!C92)/'1-Баланс'!G79</f>
        <v>0.624441132637854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0.05451564828614009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0.7706848131345863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0.3600383502657606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905</v>
      </c>
      <c r="C18" s="560" t="s">
        <v>878</v>
      </c>
      <c r="D18" s="609">
        <f>'1-Баланс'!G56/('1-Баланс'!G37+'1-Баланс'!G56)</f>
        <v>0.08301871952178701</v>
      </c>
    </row>
    <row r="19" spans="1:4" ht="31.5">
      <c r="A19" s="561">
        <v>13</v>
      </c>
      <c r="B19" s="559" t="s">
        <v>906</v>
      </c>
      <c r="C19" s="560" t="s">
        <v>880</v>
      </c>
      <c r="D19" s="609">
        <f>D4/D5</f>
        <v>1.5293991508341551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0.5998284330215973</v>
      </c>
    </row>
    <row r="21" spans="1:5" ht="15.75">
      <c r="A21" s="561">
        <v>15</v>
      </c>
      <c r="B21" s="559" t="s">
        <v>883</v>
      </c>
      <c r="C21" s="560" t="s">
        <v>884</v>
      </c>
      <c r="D21" s="645">
        <f>'2-Отчет за доходите'!C37+'2-Отчет за доходите'!C25</f>
        <v>1640</v>
      </c>
      <c r="E21" s="663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0.07033494874983917</v>
      </c>
    </row>
    <row r="23" spans="1:4" ht="31.5">
      <c r="A23" s="561">
        <v>17</v>
      </c>
      <c r="B23" s="559" t="s">
        <v>952</v>
      </c>
      <c r="C23" s="560" t="s">
        <v>953</v>
      </c>
      <c r="D23" s="615">
        <f>(D21+'2-Отчет за доходите'!C14)/'2-Отчет за доходите'!G31</f>
        <v>0.0913768777491908</v>
      </c>
    </row>
    <row r="24" spans="1:4" ht="31.5">
      <c r="A24" s="561">
        <v>18</v>
      </c>
      <c r="B24" s="559" t="s">
        <v>954</v>
      </c>
      <c r="C24" s="560" t="s">
        <v>955</v>
      </c>
      <c r="D24" s="615">
        <f>('1-Баланс'!G56+'1-Баланс'!G79)/(D21+'2-Отчет за доходите'!C14)</f>
        <v>16.19482288828338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2418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643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64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3478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6697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2464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6848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8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11718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18574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2983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2983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1197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31915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9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20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39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118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1393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188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580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5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3616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5902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19121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19121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89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1740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1829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646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27537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59452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8235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2359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1169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1190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35424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-17130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657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-17787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241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-16889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23317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474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147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278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425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1686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2111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189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122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32105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17110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8570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3008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1147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966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470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834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21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32437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890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223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33550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59452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1622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8883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562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7968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1289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2106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1691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22430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1099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27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1127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23557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541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23557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541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629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248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366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15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226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24186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21212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192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21405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28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28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25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94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2483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32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31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2665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24098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24098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88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314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24186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24641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-12051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-8668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-2489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-167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-2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-10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1254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-788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-55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470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-94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94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-373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-236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-121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-49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8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-397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45291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484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45291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1345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45291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1829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45291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1829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45291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45291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45291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45291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45291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45291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45291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45291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45291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45291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45291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45291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45291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45291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45291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45291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45291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45291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45291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45291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45291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45291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45291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45291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45291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45291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45291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45291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45291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45291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45291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45291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45291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45291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45291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45291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45291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45291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45291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45291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45291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45291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45291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45291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45291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45291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8250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45291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45291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45291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45291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8250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45291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45291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45291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45291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45291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45291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45291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45291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45291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45291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45291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45291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45291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45291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8250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45291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45291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45291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8250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45291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985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45291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45291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45291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45291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985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45291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45291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45291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45291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45291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45291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45291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45291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45291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45291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45291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45291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45291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45291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985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45291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45291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45291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985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45291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45291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45291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45291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45291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45291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45291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45291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45291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45291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45291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45291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45291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45291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45291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45291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45291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45291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45291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45291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45291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45291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45291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1190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45291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45291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45291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45291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1190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45291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45291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45291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45291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45291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45291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45291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45291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45291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45291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45291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45291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45291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45291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1190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45291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45291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45291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1190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45291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867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45291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45291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45291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45291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867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45291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241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45291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45291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45291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45291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45291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45291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45291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45291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45291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45291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45291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45291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45291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1108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45291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45291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45291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1108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45291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-17787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45291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45291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45291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45291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-17787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45291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45291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45291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45291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45291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45291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45291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45291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45291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45291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45291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45291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45291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45291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-17787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45291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45291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45291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-17787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45291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45291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45291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45291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45291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45291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45291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45291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45291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45291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45291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45291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45291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45291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45291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45291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45291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45291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45291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45291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45291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45291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45291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23117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45291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45291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45291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45291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23117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45291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241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45291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45291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45291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45291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45291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45291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45291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45291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45291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45291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45291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45291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45291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23358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45291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45291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45291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23358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45291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762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45291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45291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45291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45291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762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45291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45291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45291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45291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45291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45291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45291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45291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45291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45291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45291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45291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45291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45291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762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45291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45291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45291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762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45291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45291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45291</v>
      </c>
      <c r="D463" s="99" t="s">
        <v>529</v>
      </c>
      <c r="E463" s="482">
        <v>1</v>
      </c>
      <c r="F463" s="99" t="s">
        <v>528</v>
      </c>
      <c r="H463" s="99">
        <f>'Справка 6'!D13</f>
        <v>3042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45291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45291</v>
      </c>
      <c r="D465" s="99" t="s">
        <v>535</v>
      </c>
      <c r="E465" s="482">
        <v>1</v>
      </c>
      <c r="F465" s="99" t="s">
        <v>534</v>
      </c>
      <c r="H465" s="99">
        <f>'Справка 6'!D15</f>
        <v>41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45291</v>
      </c>
      <c r="D466" s="99" t="s">
        <v>537</v>
      </c>
      <c r="E466" s="482">
        <v>1</v>
      </c>
      <c r="F466" s="99" t="s">
        <v>536</v>
      </c>
      <c r="H466" s="99">
        <f>'Справка 6'!D16</f>
        <v>447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45291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45291</v>
      </c>
      <c r="D468" s="99" t="s">
        <v>543</v>
      </c>
      <c r="E468" s="482">
        <v>1</v>
      </c>
      <c r="F468" s="99" t="s">
        <v>542</v>
      </c>
      <c r="H468" s="99">
        <f>'Справка 6'!D18</f>
        <v>4028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45291</v>
      </c>
      <c r="D469" s="99" t="s">
        <v>545</v>
      </c>
      <c r="E469" s="482">
        <v>1</v>
      </c>
      <c r="F469" s="99" t="s">
        <v>804</v>
      </c>
      <c r="H469" s="99">
        <f>'Справка 6'!D19</f>
        <v>11096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45291</v>
      </c>
      <c r="D470" s="99" t="s">
        <v>547</v>
      </c>
      <c r="E470" s="482">
        <v>1</v>
      </c>
      <c r="F470" s="99" t="s">
        <v>546</v>
      </c>
      <c r="H470" s="99">
        <f>'Справка 6'!D20</f>
        <v>2624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45291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45291</v>
      </c>
      <c r="D472" s="99" t="s">
        <v>553</v>
      </c>
      <c r="E472" s="482">
        <v>1</v>
      </c>
      <c r="F472" s="99" t="s">
        <v>552</v>
      </c>
      <c r="H472" s="99">
        <f>'Справка 6'!D23</f>
        <v>6887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45291</v>
      </c>
      <c r="D473" s="99" t="s">
        <v>555</v>
      </c>
      <c r="E473" s="482">
        <v>1</v>
      </c>
      <c r="F473" s="99" t="s">
        <v>554</v>
      </c>
      <c r="H473" s="99">
        <f>'Справка 6'!D24</f>
        <v>948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45291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45291</v>
      </c>
      <c r="D475" s="99" t="s">
        <v>558</v>
      </c>
      <c r="E475" s="482">
        <v>1</v>
      </c>
      <c r="F475" s="99" t="s">
        <v>542</v>
      </c>
      <c r="H475" s="99">
        <f>'Справка 6'!D26</f>
        <v>11433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45291</v>
      </c>
      <c r="D476" s="99" t="s">
        <v>560</v>
      </c>
      <c r="E476" s="482">
        <v>1</v>
      </c>
      <c r="F476" s="99" t="s">
        <v>838</v>
      </c>
      <c r="H476" s="99">
        <f>'Справка 6'!D27</f>
        <v>19268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45291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45291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45291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45291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45291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45291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45291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45291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45291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45291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45291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45291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45291</v>
      </c>
      <c r="D489" s="99" t="s">
        <v>581</v>
      </c>
      <c r="E489" s="482">
        <v>1</v>
      </c>
      <c r="F489" s="99" t="s">
        <v>580</v>
      </c>
      <c r="H489" s="99">
        <f>'Справка 6'!D41</f>
        <v>4116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45291</v>
      </c>
      <c r="D490" s="99" t="s">
        <v>583</v>
      </c>
      <c r="E490" s="482">
        <v>1</v>
      </c>
      <c r="F490" s="99" t="s">
        <v>582</v>
      </c>
      <c r="H490" s="99">
        <f>'Справка 6'!D42</f>
        <v>37104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45291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45291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45291</v>
      </c>
      <c r="D493" s="99" t="s">
        <v>529</v>
      </c>
      <c r="E493" s="482">
        <v>2</v>
      </c>
      <c r="F493" s="99" t="s">
        <v>528</v>
      </c>
      <c r="H493" s="99">
        <f>'Справка 6'!E13</f>
        <v>37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45291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45291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45291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45291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45291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45291</v>
      </c>
      <c r="D499" s="99" t="s">
        <v>545</v>
      </c>
      <c r="E499" s="482">
        <v>2</v>
      </c>
      <c r="F499" s="99" t="s">
        <v>804</v>
      </c>
      <c r="H499" s="99">
        <f>'Справка 6'!E19</f>
        <v>37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45291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45291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45291</v>
      </c>
      <c r="D502" s="99" t="s">
        <v>553</v>
      </c>
      <c r="E502" s="482">
        <v>2</v>
      </c>
      <c r="F502" s="99" t="s">
        <v>552</v>
      </c>
      <c r="H502" s="99">
        <f>'Справка 6'!E23</f>
        <v>48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45291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45291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45291</v>
      </c>
      <c r="D505" s="99" t="s">
        <v>558</v>
      </c>
      <c r="E505" s="482">
        <v>2</v>
      </c>
      <c r="F505" s="99" t="s">
        <v>542</v>
      </c>
      <c r="H505" s="99">
        <f>'Справка 6'!E26</f>
        <v>785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45291</v>
      </c>
      <c r="D506" s="99" t="s">
        <v>560</v>
      </c>
      <c r="E506" s="482">
        <v>2</v>
      </c>
      <c r="F506" s="99" t="s">
        <v>838</v>
      </c>
      <c r="H506" s="99">
        <f>'Справка 6'!E27</f>
        <v>833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45291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45291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45291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45291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45291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45291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45291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45291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45291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45291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45291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45291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45291</v>
      </c>
      <c r="D519" s="99" t="s">
        <v>581</v>
      </c>
      <c r="E519" s="482">
        <v>2</v>
      </c>
      <c r="F519" s="99" t="s">
        <v>580</v>
      </c>
      <c r="H519" s="99">
        <f>'Справка 6'!E41</f>
        <v>10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45291</v>
      </c>
      <c r="D520" s="99" t="s">
        <v>583</v>
      </c>
      <c r="E520" s="482">
        <v>2</v>
      </c>
      <c r="F520" s="99" t="s">
        <v>582</v>
      </c>
      <c r="H520" s="99">
        <f>'Справка 6'!E42</f>
        <v>880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45291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45291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45291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45291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45291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45291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45291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45291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45291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45291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45291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45291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45291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45291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45291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45291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45291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45291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45291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45291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45291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45291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45291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45291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45291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45291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45291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45291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45291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45291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45291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45291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45291</v>
      </c>
      <c r="D553" s="99" t="s">
        <v>529</v>
      </c>
      <c r="E553" s="482">
        <v>4</v>
      </c>
      <c r="F553" s="99" t="s">
        <v>528</v>
      </c>
      <c r="H553" s="99">
        <f>'Справка 6'!G13</f>
        <v>3079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45291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45291</v>
      </c>
      <c r="D555" s="99" t="s">
        <v>535</v>
      </c>
      <c r="E555" s="482">
        <v>4</v>
      </c>
      <c r="F555" s="99" t="s">
        <v>534</v>
      </c>
      <c r="H555" s="99">
        <f>'Справка 6'!G15</f>
        <v>41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45291</v>
      </c>
      <c r="D556" s="99" t="s">
        <v>537</v>
      </c>
      <c r="E556" s="482">
        <v>4</v>
      </c>
      <c r="F556" s="99" t="s">
        <v>536</v>
      </c>
      <c r="H556" s="99">
        <f>'Справка 6'!G16</f>
        <v>447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45291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45291</v>
      </c>
      <c r="D558" s="99" t="s">
        <v>543</v>
      </c>
      <c r="E558" s="482">
        <v>4</v>
      </c>
      <c r="F558" s="99" t="s">
        <v>542</v>
      </c>
      <c r="H558" s="99">
        <f>'Справка 6'!G18</f>
        <v>4028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45291</v>
      </c>
      <c r="D559" s="99" t="s">
        <v>545</v>
      </c>
      <c r="E559" s="482">
        <v>4</v>
      </c>
      <c r="F559" s="99" t="s">
        <v>804</v>
      </c>
      <c r="H559" s="99">
        <f>'Справка 6'!G19</f>
        <v>11133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45291</v>
      </c>
      <c r="D560" s="99" t="s">
        <v>547</v>
      </c>
      <c r="E560" s="482">
        <v>4</v>
      </c>
      <c r="F560" s="99" t="s">
        <v>546</v>
      </c>
      <c r="H560" s="99">
        <f>'Справка 6'!G20</f>
        <v>2624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45291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45291</v>
      </c>
      <c r="D562" s="99" t="s">
        <v>553</v>
      </c>
      <c r="E562" s="482">
        <v>4</v>
      </c>
      <c r="F562" s="99" t="s">
        <v>552</v>
      </c>
      <c r="H562" s="99">
        <f>'Справка 6'!G23</f>
        <v>6935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45291</v>
      </c>
      <c r="D563" s="99" t="s">
        <v>555</v>
      </c>
      <c r="E563" s="482">
        <v>4</v>
      </c>
      <c r="F563" s="99" t="s">
        <v>554</v>
      </c>
      <c r="H563" s="99">
        <f>'Справка 6'!G24</f>
        <v>948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45291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45291</v>
      </c>
      <c r="D565" s="99" t="s">
        <v>558</v>
      </c>
      <c r="E565" s="482">
        <v>4</v>
      </c>
      <c r="F565" s="99" t="s">
        <v>542</v>
      </c>
      <c r="H565" s="99">
        <f>'Справка 6'!G26</f>
        <v>12218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45291</v>
      </c>
      <c r="D566" s="99" t="s">
        <v>560</v>
      </c>
      <c r="E566" s="482">
        <v>4</v>
      </c>
      <c r="F566" s="99" t="s">
        <v>838</v>
      </c>
      <c r="H566" s="99">
        <f>'Справка 6'!G27</f>
        <v>20101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45291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45291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45291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45291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45291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45291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45291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45291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45291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45291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45291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45291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45291</v>
      </c>
      <c r="D579" s="99" t="s">
        <v>581</v>
      </c>
      <c r="E579" s="482">
        <v>4</v>
      </c>
      <c r="F579" s="99" t="s">
        <v>580</v>
      </c>
      <c r="H579" s="99">
        <f>'Справка 6'!G41</f>
        <v>4126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45291</v>
      </c>
      <c r="D580" s="99" t="s">
        <v>583</v>
      </c>
      <c r="E580" s="482">
        <v>4</v>
      </c>
      <c r="F580" s="99" t="s">
        <v>582</v>
      </c>
      <c r="H580" s="99">
        <f>'Справка 6'!G42</f>
        <v>37984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45291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45291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45291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45291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45291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45291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45291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45291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45291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45291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45291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45291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45291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45291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45291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45291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45291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45291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45291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45291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45291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45291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45291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45291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45291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45291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45291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45291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45291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45291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45291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45291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45291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45291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45291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45291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45291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45291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45291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45291</v>
      </c>
      <c r="D620" s="99" t="s">
        <v>547</v>
      </c>
      <c r="E620" s="482">
        <v>6</v>
      </c>
      <c r="F620" s="99" t="s">
        <v>546</v>
      </c>
      <c r="H620" s="99">
        <f>'Справка 6'!I20</f>
        <v>160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45291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45291</v>
      </c>
      <c r="D622" s="99" t="s">
        <v>553</v>
      </c>
      <c r="E622" s="482">
        <v>6</v>
      </c>
      <c r="F622" s="99" t="s">
        <v>552</v>
      </c>
      <c r="H622" s="99">
        <f>'Справка 6'!I23</f>
        <v>15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45291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45291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45291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45291</v>
      </c>
      <c r="D626" s="99" t="s">
        <v>560</v>
      </c>
      <c r="E626" s="482">
        <v>6</v>
      </c>
      <c r="F626" s="99" t="s">
        <v>838</v>
      </c>
      <c r="H626" s="99">
        <f>'Справка 6'!I27</f>
        <v>15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45291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45291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45291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45291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45291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45291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45291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45291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45291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45291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45291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45291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45291</v>
      </c>
      <c r="D639" s="99" t="s">
        <v>581</v>
      </c>
      <c r="E639" s="482">
        <v>6</v>
      </c>
      <c r="F639" s="99" t="s">
        <v>580</v>
      </c>
      <c r="H639" s="99">
        <f>'Справка 6'!I41</f>
        <v>1143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45291</v>
      </c>
      <c r="D640" s="99" t="s">
        <v>583</v>
      </c>
      <c r="E640" s="482">
        <v>6</v>
      </c>
      <c r="F640" s="99" t="s">
        <v>582</v>
      </c>
      <c r="H640" s="99">
        <f>'Справка 6'!I42</f>
        <v>1318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45291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45291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45291</v>
      </c>
      <c r="D643" s="99" t="s">
        <v>529</v>
      </c>
      <c r="E643" s="482">
        <v>7</v>
      </c>
      <c r="F643" s="99" t="s">
        <v>528</v>
      </c>
      <c r="H643" s="99">
        <f>'Справка 6'!J13</f>
        <v>3079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45291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45291</v>
      </c>
      <c r="D645" s="99" t="s">
        <v>535</v>
      </c>
      <c r="E645" s="482">
        <v>7</v>
      </c>
      <c r="F645" s="99" t="s">
        <v>534</v>
      </c>
      <c r="H645" s="99">
        <f>'Справка 6'!J15</f>
        <v>41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45291</v>
      </c>
      <c r="D646" s="99" t="s">
        <v>537</v>
      </c>
      <c r="E646" s="482">
        <v>7</v>
      </c>
      <c r="F646" s="99" t="s">
        <v>536</v>
      </c>
      <c r="H646" s="99">
        <f>'Справка 6'!J16</f>
        <v>447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45291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45291</v>
      </c>
      <c r="D648" s="99" t="s">
        <v>543</v>
      </c>
      <c r="E648" s="482">
        <v>7</v>
      </c>
      <c r="F648" s="99" t="s">
        <v>542</v>
      </c>
      <c r="H648" s="99">
        <f>'Справка 6'!J18</f>
        <v>4028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45291</v>
      </c>
      <c r="D649" s="99" t="s">
        <v>545</v>
      </c>
      <c r="E649" s="482">
        <v>7</v>
      </c>
      <c r="F649" s="99" t="s">
        <v>804</v>
      </c>
      <c r="H649" s="99">
        <f>'Справка 6'!J19</f>
        <v>11133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45291</v>
      </c>
      <c r="D650" s="99" t="s">
        <v>547</v>
      </c>
      <c r="E650" s="482">
        <v>7</v>
      </c>
      <c r="F650" s="99" t="s">
        <v>546</v>
      </c>
      <c r="H650" s="99">
        <f>'Справка 6'!J20</f>
        <v>2464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45291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45291</v>
      </c>
      <c r="D652" s="99" t="s">
        <v>553</v>
      </c>
      <c r="E652" s="482">
        <v>7</v>
      </c>
      <c r="F652" s="99" t="s">
        <v>552</v>
      </c>
      <c r="H652" s="99">
        <f>'Справка 6'!J23</f>
        <v>6920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45291</v>
      </c>
      <c r="D653" s="99" t="s">
        <v>555</v>
      </c>
      <c r="E653" s="482">
        <v>7</v>
      </c>
      <c r="F653" s="99" t="s">
        <v>554</v>
      </c>
      <c r="H653" s="99">
        <f>'Справка 6'!J24</f>
        <v>948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45291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45291</v>
      </c>
      <c r="D655" s="99" t="s">
        <v>558</v>
      </c>
      <c r="E655" s="482">
        <v>7</v>
      </c>
      <c r="F655" s="99" t="s">
        <v>542</v>
      </c>
      <c r="H655" s="99">
        <f>'Справка 6'!J26</f>
        <v>12218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45291</v>
      </c>
      <c r="D656" s="99" t="s">
        <v>560</v>
      </c>
      <c r="E656" s="482">
        <v>7</v>
      </c>
      <c r="F656" s="99" t="s">
        <v>838</v>
      </c>
      <c r="H656" s="99">
        <f>'Справка 6'!J27</f>
        <v>20086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45291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45291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45291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45291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45291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45291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45291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45291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45291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45291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45291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45291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45291</v>
      </c>
      <c r="D669" s="99" t="s">
        <v>581</v>
      </c>
      <c r="E669" s="482">
        <v>7</v>
      </c>
      <c r="F669" s="99" t="s">
        <v>580</v>
      </c>
      <c r="H669" s="99">
        <f>'Справка 6'!J41</f>
        <v>2983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45291</v>
      </c>
      <c r="D670" s="99" t="s">
        <v>583</v>
      </c>
      <c r="E670" s="482">
        <v>7</v>
      </c>
      <c r="F670" s="99" t="s">
        <v>582</v>
      </c>
      <c r="H670" s="99">
        <f>'Справка 6'!J42</f>
        <v>36666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45291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45291</v>
      </c>
      <c r="D672" s="99" t="s">
        <v>526</v>
      </c>
      <c r="E672" s="482">
        <v>8</v>
      </c>
      <c r="F672" s="99" t="s">
        <v>525</v>
      </c>
      <c r="H672" s="99">
        <f>'Справка 6'!K12</f>
        <v>861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45291</v>
      </c>
      <c r="D673" s="99" t="s">
        <v>529</v>
      </c>
      <c r="E673" s="482">
        <v>8</v>
      </c>
      <c r="F673" s="99" t="s">
        <v>528</v>
      </c>
      <c r="H673" s="99">
        <f>'Справка 6'!K13</f>
        <v>2302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45291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45291</v>
      </c>
      <c r="D675" s="99" t="s">
        <v>535</v>
      </c>
      <c r="E675" s="482">
        <v>8</v>
      </c>
      <c r="F675" s="99" t="s">
        <v>534</v>
      </c>
      <c r="H675" s="99">
        <f>'Справка 6'!K15</f>
        <v>38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45291</v>
      </c>
      <c r="D676" s="99" t="s">
        <v>537</v>
      </c>
      <c r="E676" s="482">
        <v>8</v>
      </c>
      <c r="F676" s="99" t="s">
        <v>536</v>
      </c>
      <c r="H676" s="99">
        <f>'Справка 6'!K16</f>
        <v>365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45291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45291</v>
      </c>
      <c r="D678" s="99" t="s">
        <v>543</v>
      </c>
      <c r="E678" s="482">
        <v>8</v>
      </c>
      <c r="F678" s="99" t="s">
        <v>542</v>
      </c>
      <c r="H678" s="99">
        <f>'Справка 6'!K18</f>
        <v>447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45291</v>
      </c>
      <c r="D679" s="99" t="s">
        <v>545</v>
      </c>
      <c r="E679" s="482">
        <v>8</v>
      </c>
      <c r="F679" s="99" t="s">
        <v>804</v>
      </c>
      <c r="H679" s="99">
        <f>'Справка 6'!K19</f>
        <v>4013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45291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45291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45291</v>
      </c>
      <c r="D682" s="99" t="s">
        <v>553</v>
      </c>
      <c r="E682" s="482">
        <v>8</v>
      </c>
      <c r="F682" s="99" t="s">
        <v>552</v>
      </c>
      <c r="H682" s="99">
        <f>'Справка 6'!K23</f>
        <v>58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45291</v>
      </c>
      <c r="D683" s="99" t="s">
        <v>555</v>
      </c>
      <c r="E683" s="482">
        <v>8</v>
      </c>
      <c r="F683" s="99" t="s">
        <v>554</v>
      </c>
      <c r="H683" s="99">
        <f>'Справка 6'!K24</f>
        <v>935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45291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45291</v>
      </c>
      <c r="D685" s="99" t="s">
        <v>558</v>
      </c>
      <c r="E685" s="482">
        <v>8</v>
      </c>
      <c r="F685" s="99" t="s">
        <v>542</v>
      </c>
      <c r="H685" s="99">
        <f>'Справка 6'!K26</f>
        <v>382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45291</v>
      </c>
      <c r="D686" s="99" t="s">
        <v>560</v>
      </c>
      <c r="E686" s="482">
        <v>8</v>
      </c>
      <c r="F686" s="99" t="s">
        <v>838</v>
      </c>
      <c r="H686" s="99">
        <f>'Справка 6'!K27</f>
        <v>1375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45291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45291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45291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45291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45291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45291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45291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45291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45291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45291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45291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45291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45291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45291</v>
      </c>
      <c r="D700" s="99" t="s">
        <v>583</v>
      </c>
      <c r="E700" s="482">
        <v>8</v>
      </c>
      <c r="F700" s="99" t="s">
        <v>582</v>
      </c>
      <c r="H700" s="99">
        <f>'Справка 6'!K42</f>
        <v>5388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45291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45291</v>
      </c>
      <c r="D702" s="99" t="s">
        <v>526</v>
      </c>
      <c r="E702" s="482">
        <v>9</v>
      </c>
      <c r="F702" s="99" t="s">
        <v>525</v>
      </c>
      <c r="H702" s="99">
        <f>'Справка 6'!L12</f>
        <v>165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45291</v>
      </c>
      <c r="D703" s="99" t="s">
        <v>529</v>
      </c>
      <c r="E703" s="482">
        <v>9</v>
      </c>
      <c r="F703" s="99" t="s">
        <v>528</v>
      </c>
      <c r="H703" s="99">
        <f>'Справка 6'!L13</f>
        <v>136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45291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45291</v>
      </c>
      <c r="D705" s="99" t="s">
        <v>535</v>
      </c>
      <c r="E705" s="482">
        <v>9</v>
      </c>
      <c r="F705" s="99" t="s">
        <v>534</v>
      </c>
      <c r="H705" s="99">
        <f>'Справка 6'!L15</f>
        <v>3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45291</v>
      </c>
      <c r="D706" s="99" t="s">
        <v>537</v>
      </c>
      <c r="E706" s="482">
        <v>9</v>
      </c>
      <c r="F706" s="99" t="s">
        <v>536</v>
      </c>
      <c r="H706" s="99">
        <f>'Справка 6'!L16</f>
        <v>18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45291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45291</v>
      </c>
      <c r="D708" s="99" t="s">
        <v>543</v>
      </c>
      <c r="E708" s="482">
        <v>9</v>
      </c>
      <c r="F708" s="99" t="s">
        <v>542</v>
      </c>
      <c r="H708" s="99">
        <f>'Справка 6'!L18</f>
        <v>103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45291</v>
      </c>
      <c r="D709" s="99" t="s">
        <v>545</v>
      </c>
      <c r="E709" s="482">
        <v>9</v>
      </c>
      <c r="F709" s="99" t="s">
        <v>804</v>
      </c>
      <c r="H709" s="99">
        <f>'Справка 6'!L19</f>
        <v>425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45291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45291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45291</v>
      </c>
      <c r="D712" s="99" t="s">
        <v>553</v>
      </c>
      <c r="E712" s="482">
        <v>9</v>
      </c>
      <c r="F712" s="99" t="s">
        <v>552</v>
      </c>
      <c r="H712" s="99">
        <f>'Справка 6'!L23</f>
        <v>14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45291</v>
      </c>
      <c r="D713" s="99" t="s">
        <v>555</v>
      </c>
      <c r="E713" s="482">
        <v>9</v>
      </c>
      <c r="F713" s="99" t="s">
        <v>554</v>
      </c>
      <c r="H713" s="99">
        <f>'Справка 6'!L24</f>
        <v>5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45291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45291</v>
      </c>
      <c r="D715" s="99" t="s">
        <v>558</v>
      </c>
      <c r="E715" s="482">
        <v>9</v>
      </c>
      <c r="F715" s="99" t="s">
        <v>542</v>
      </c>
      <c r="H715" s="99">
        <f>'Справка 6'!L26</f>
        <v>118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45291</v>
      </c>
      <c r="D716" s="99" t="s">
        <v>560</v>
      </c>
      <c r="E716" s="482">
        <v>9</v>
      </c>
      <c r="F716" s="99" t="s">
        <v>838</v>
      </c>
      <c r="H716" s="99">
        <f>'Справка 6'!L27</f>
        <v>137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45291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45291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45291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45291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45291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45291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45291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45291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45291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45291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45291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45291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45291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45291</v>
      </c>
      <c r="D730" s="99" t="s">
        <v>583</v>
      </c>
      <c r="E730" s="482">
        <v>9</v>
      </c>
      <c r="F730" s="99" t="s">
        <v>582</v>
      </c>
      <c r="H730" s="99">
        <f>'Справка 6'!L42</f>
        <v>562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45291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45291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45291</v>
      </c>
      <c r="D733" s="99" t="s">
        <v>529</v>
      </c>
      <c r="E733" s="482">
        <v>10</v>
      </c>
      <c r="F733" s="99" t="s">
        <v>528</v>
      </c>
      <c r="H733" s="99">
        <f>'Справка 6'!M13</f>
        <v>2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45291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45291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45291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45291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45291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45291</v>
      </c>
      <c r="D739" s="99" t="s">
        <v>545</v>
      </c>
      <c r="E739" s="482">
        <v>10</v>
      </c>
      <c r="F739" s="99" t="s">
        <v>804</v>
      </c>
      <c r="H739" s="99">
        <f>'Справка 6'!M19</f>
        <v>2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45291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45291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45291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45291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45291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45291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45291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45291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45291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45291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45291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45291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45291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45291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45291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45291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45291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45291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45291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45291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45291</v>
      </c>
      <c r="D760" s="99" t="s">
        <v>583</v>
      </c>
      <c r="E760" s="482">
        <v>10</v>
      </c>
      <c r="F760" s="99" t="s">
        <v>582</v>
      </c>
      <c r="H760" s="99">
        <f>'Справка 6'!M42</f>
        <v>2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45291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45291</v>
      </c>
      <c r="D762" s="99" t="s">
        <v>526</v>
      </c>
      <c r="E762" s="482">
        <v>11</v>
      </c>
      <c r="F762" s="99" t="s">
        <v>525</v>
      </c>
      <c r="H762" s="99">
        <f>'Справка 6'!N12</f>
        <v>1026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45291</v>
      </c>
      <c r="D763" s="99" t="s">
        <v>529</v>
      </c>
      <c r="E763" s="482">
        <v>11</v>
      </c>
      <c r="F763" s="99" t="s">
        <v>528</v>
      </c>
      <c r="H763" s="99">
        <f>'Справка 6'!N13</f>
        <v>2436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45291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45291</v>
      </c>
      <c r="D765" s="99" t="s">
        <v>535</v>
      </c>
      <c r="E765" s="482">
        <v>11</v>
      </c>
      <c r="F765" s="99" t="s">
        <v>534</v>
      </c>
      <c r="H765" s="99">
        <f>'Справка 6'!N15</f>
        <v>41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45291</v>
      </c>
      <c r="D766" s="99" t="s">
        <v>537</v>
      </c>
      <c r="E766" s="482">
        <v>11</v>
      </c>
      <c r="F766" s="99" t="s">
        <v>536</v>
      </c>
      <c r="H766" s="99">
        <f>'Справка 6'!N16</f>
        <v>383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45291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45291</v>
      </c>
      <c r="D768" s="99" t="s">
        <v>543</v>
      </c>
      <c r="E768" s="482">
        <v>11</v>
      </c>
      <c r="F768" s="99" t="s">
        <v>542</v>
      </c>
      <c r="H768" s="99">
        <f>'Справка 6'!N18</f>
        <v>550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45291</v>
      </c>
      <c r="D769" s="99" t="s">
        <v>545</v>
      </c>
      <c r="E769" s="482">
        <v>11</v>
      </c>
      <c r="F769" s="99" t="s">
        <v>804</v>
      </c>
      <c r="H769" s="99">
        <f>'Справка 6'!N19</f>
        <v>4436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45291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45291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45291</v>
      </c>
      <c r="D772" s="99" t="s">
        <v>553</v>
      </c>
      <c r="E772" s="482">
        <v>11</v>
      </c>
      <c r="F772" s="99" t="s">
        <v>552</v>
      </c>
      <c r="H772" s="99">
        <f>'Справка 6'!N23</f>
        <v>72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45291</v>
      </c>
      <c r="D773" s="99" t="s">
        <v>555</v>
      </c>
      <c r="E773" s="482">
        <v>11</v>
      </c>
      <c r="F773" s="99" t="s">
        <v>554</v>
      </c>
      <c r="H773" s="99">
        <f>'Справка 6'!N24</f>
        <v>940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45291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45291</v>
      </c>
      <c r="D775" s="99" t="s">
        <v>558</v>
      </c>
      <c r="E775" s="482">
        <v>11</v>
      </c>
      <c r="F775" s="99" t="s">
        <v>542</v>
      </c>
      <c r="H775" s="99">
        <f>'Справка 6'!N26</f>
        <v>500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45291</v>
      </c>
      <c r="D776" s="99" t="s">
        <v>560</v>
      </c>
      <c r="E776" s="482">
        <v>11</v>
      </c>
      <c r="F776" s="99" t="s">
        <v>838</v>
      </c>
      <c r="H776" s="99">
        <f>'Справка 6'!N27</f>
        <v>1512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45291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45291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45291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45291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45291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45291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45291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45291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45291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45291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45291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45291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45291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45291</v>
      </c>
      <c r="D790" s="99" t="s">
        <v>583</v>
      </c>
      <c r="E790" s="482">
        <v>11</v>
      </c>
      <c r="F790" s="99" t="s">
        <v>582</v>
      </c>
      <c r="H790" s="99">
        <f>'Справка 6'!N42</f>
        <v>5948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45291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45291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45291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45291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45291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45291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45291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45291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45291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45291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45291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45291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45291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45291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45291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45291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45291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45291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45291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45291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45291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45291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45291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45291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45291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45291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45291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45291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45291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45291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45291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45291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45291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45291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45291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45291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45291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45291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45291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45291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45291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45291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45291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45291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45291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45291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45291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45291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45291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45291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45291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45291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45291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45291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45291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45291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45291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45291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45291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45291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45291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45291</v>
      </c>
      <c r="D852" s="99" t="s">
        <v>526</v>
      </c>
      <c r="E852" s="482">
        <v>14</v>
      </c>
      <c r="F852" s="99" t="s">
        <v>525</v>
      </c>
      <c r="H852" s="99">
        <f>'Справка 6'!Q12</f>
        <v>1026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45291</v>
      </c>
      <c r="D853" s="99" t="s">
        <v>529</v>
      </c>
      <c r="E853" s="482">
        <v>14</v>
      </c>
      <c r="F853" s="99" t="s">
        <v>528</v>
      </c>
      <c r="H853" s="99">
        <f>'Справка 6'!Q13</f>
        <v>2436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45291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45291</v>
      </c>
      <c r="D855" s="99" t="s">
        <v>535</v>
      </c>
      <c r="E855" s="482">
        <v>14</v>
      </c>
      <c r="F855" s="99" t="s">
        <v>534</v>
      </c>
      <c r="H855" s="99">
        <f>'Справка 6'!Q15</f>
        <v>41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45291</v>
      </c>
      <c r="D856" s="99" t="s">
        <v>537</v>
      </c>
      <c r="E856" s="482">
        <v>14</v>
      </c>
      <c r="F856" s="99" t="s">
        <v>536</v>
      </c>
      <c r="H856" s="99">
        <f>'Справка 6'!Q16</f>
        <v>383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45291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45291</v>
      </c>
      <c r="D858" s="99" t="s">
        <v>543</v>
      </c>
      <c r="E858" s="482">
        <v>14</v>
      </c>
      <c r="F858" s="99" t="s">
        <v>542</v>
      </c>
      <c r="H858" s="99">
        <f>'Справка 6'!Q18</f>
        <v>550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45291</v>
      </c>
      <c r="D859" s="99" t="s">
        <v>545</v>
      </c>
      <c r="E859" s="482">
        <v>14</v>
      </c>
      <c r="F859" s="99" t="s">
        <v>804</v>
      </c>
      <c r="H859" s="99">
        <f>'Справка 6'!Q19</f>
        <v>4436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45291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45291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45291</v>
      </c>
      <c r="D862" s="99" t="s">
        <v>553</v>
      </c>
      <c r="E862" s="482">
        <v>14</v>
      </c>
      <c r="F862" s="99" t="s">
        <v>552</v>
      </c>
      <c r="H862" s="99">
        <f>'Справка 6'!Q23</f>
        <v>72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45291</v>
      </c>
      <c r="D863" s="99" t="s">
        <v>555</v>
      </c>
      <c r="E863" s="482">
        <v>14</v>
      </c>
      <c r="F863" s="99" t="s">
        <v>554</v>
      </c>
      <c r="H863" s="99">
        <f>'Справка 6'!Q24</f>
        <v>940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45291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45291</v>
      </c>
      <c r="D865" s="99" t="s">
        <v>558</v>
      </c>
      <c r="E865" s="482">
        <v>14</v>
      </c>
      <c r="F865" s="99" t="s">
        <v>542</v>
      </c>
      <c r="H865" s="99">
        <f>'Справка 6'!Q26</f>
        <v>500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45291</v>
      </c>
      <c r="D866" s="99" t="s">
        <v>560</v>
      </c>
      <c r="E866" s="482">
        <v>14</v>
      </c>
      <c r="F866" s="99" t="s">
        <v>838</v>
      </c>
      <c r="H866" s="99">
        <f>'Справка 6'!Q27</f>
        <v>1512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45291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45291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45291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45291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45291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45291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45291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45291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45291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45291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45291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45291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45291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45291</v>
      </c>
      <c r="D880" s="99" t="s">
        <v>583</v>
      </c>
      <c r="E880" s="482">
        <v>14</v>
      </c>
      <c r="F880" s="99" t="s">
        <v>582</v>
      </c>
      <c r="H880" s="99">
        <f>'Справка 6'!Q42</f>
        <v>5948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45291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45291</v>
      </c>
      <c r="D882" s="99" t="s">
        <v>526</v>
      </c>
      <c r="E882" s="482">
        <v>15</v>
      </c>
      <c r="F882" s="99" t="s">
        <v>525</v>
      </c>
      <c r="H882" s="99">
        <f>'Справка 6'!R12</f>
        <v>2418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45291</v>
      </c>
      <c r="D883" s="99" t="s">
        <v>529</v>
      </c>
      <c r="E883" s="482">
        <v>15</v>
      </c>
      <c r="F883" s="99" t="s">
        <v>528</v>
      </c>
      <c r="H883" s="99">
        <f>'Справка 6'!R13</f>
        <v>643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45291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45291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45291</v>
      </c>
      <c r="D886" s="99" t="s">
        <v>537</v>
      </c>
      <c r="E886" s="482">
        <v>15</v>
      </c>
      <c r="F886" s="99" t="s">
        <v>536</v>
      </c>
      <c r="H886" s="99">
        <f>'Справка 6'!R16</f>
        <v>64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45291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45291</v>
      </c>
      <c r="D888" s="99" t="s">
        <v>543</v>
      </c>
      <c r="E888" s="482">
        <v>15</v>
      </c>
      <c r="F888" s="99" t="s">
        <v>542</v>
      </c>
      <c r="H888" s="99">
        <f>'Справка 6'!R18</f>
        <v>3478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45291</v>
      </c>
      <c r="D889" s="99" t="s">
        <v>545</v>
      </c>
      <c r="E889" s="482">
        <v>15</v>
      </c>
      <c r="F889" s="99" t="s">
        <v>804</v>
      </c>
      <c r="H889" s="99">
        <f>'Справка 6'!R19</f>
        <v>6697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45291</v>
      </c>
      <c r="D890" s="99" t="s">
        <v>547</v>
      </c>
      <c r="E890" s="482">
        <v>15</v>
      </c>
      <c r="F890" s="99" t="s">
        <v>546</v>
      </c>
      <c r="H890" s="99">
        <f>'Справка 6'!R20</f>
        <v>2464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45291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45291</v>
      </c>
      <c r="D892" s="99" t="s">
        <v>553</v>
      </c>
      <c r="E892" s="482">
        <v>15</v>
      </c>
      <c r="F892" s="99" t="s">
        <v>552</v>
      </c>
      <c r="H892" s="99">
        <f>'Справка 6'!R23</f>
        <v>6848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45291</v>
      </c>
      <c r="D893" s="99" t="s">
        <v>555</v>
      </c>
      <c r="E893" s="482">
        <v>15</v>
      </c>
      <c r="F893" s="99" t="s">
        <v>554</v>
      </c>
      <c r="H893" s="99">
        <f>'Справка 6'!R24</f>
        <v>8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45291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45291</v>
      </c>
      <c r="D895" s="99" t="s">
        <v>558</v>
      </c>
      <c r="E895" s="482">
        <v>15</v>
      </c>
      <c r="F895" s="99" t="s">
        <v>542</v>
      </c>
      <c r="H895" s="99">
        <f>'Справка 6'!R26</f>
        <v>11718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45291</v>
      </c>
      <c r="D896" s="99" t="s">
        <v>560</v>
      </c>
      <c r="E896" s="482">
        <v>15</v>
      </c>
      <c r="F896" s="99" t="s">
        <v>838</v>
      </c>
      <c r="H896" s="99">
        <f>'Справка 6'!R27</f>
        <v>18574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45291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45291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45291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45291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45291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45291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45291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45291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45291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45291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45291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45291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45291</v>
      </c>
      <c r="D909" s="99" t="s">
        <v>581</v>
      </c>
      <c r="E909" s="482">
        <v>15</v>
      </c>
      <c r="F909" s="99" t="s">
        <v>580</v>
      </c>
      <c r="H909" s="99">
        <f>'Справка 6'!R41</f>
        <v>2983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45291</v>
      </c>
      <c r="D910" s="99" t="s">
        <v>583</v>
      </c>
      <c r="E910" s="482">
        <v>15</v>
      </c>
      <c r="F910" s="99" t="s">
        <v>582</v>
      </c>
      <c r="H910" s="99">
        <f>'Справка 6'!R42</f>
        <v>30718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45291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45291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45291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45291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45291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45291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45291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45291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45291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45291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45291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1197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45291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118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45291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8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45291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110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45291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45291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1393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45291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188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45291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580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45291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5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45291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45291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45291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45291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45291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45291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45291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3616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45291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45291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45291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45291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3616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45291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5902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45291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7099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45291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45291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45291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45291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45291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45291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45291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45291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45291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45291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45291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45291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118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45291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8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45291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110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45291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45291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1393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45291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188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45291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580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45291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5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45291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45291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45291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45291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45291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45291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45291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3616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45291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45291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45291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45291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3616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45291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5902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45291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5902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45291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45291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45291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45291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45291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45291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45291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45291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45291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45291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45291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1197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45291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45291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45291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45291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45291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45291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45291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45291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45291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45291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45291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45291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45291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45291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45291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45291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45291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45291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45291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45291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45291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1197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45291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45291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45291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45291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45291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147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45291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147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45291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45291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45291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45291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45291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45291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45291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278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45291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257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45291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425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45291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1686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45291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17110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45291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551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45291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45291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16559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45291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189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45291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189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45291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45291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45291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45291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122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45291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45291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45291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45291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122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45291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14995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45291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8570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45291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3008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45291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1147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45291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966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45291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834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45291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215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45291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304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45291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315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45291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470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45291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21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45291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32437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45291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34548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45291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45291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45291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45291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45291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45291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45291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45291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45291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45291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45291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45291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45291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45291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45291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45291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45291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17110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45291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551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45291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45291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16559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45291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189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45291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189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45291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45291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45291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45291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122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45291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45291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45291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45291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122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45291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14995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45291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8570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45291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3008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45291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1147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45291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966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45291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834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45291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215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45291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304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45291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315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45291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470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45291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21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45291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32437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45291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32437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45291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45291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45291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45291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45291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147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45291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147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45291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45291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45291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45291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45291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45291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45291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278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45291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257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45291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425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45291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1686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45291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45291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45291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45291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45291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45291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45291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45291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45291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45291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45291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45291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45291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45291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45291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45291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45291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45291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45291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45291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45291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45291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45291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45291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45291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45291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45291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2111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45291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45291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45291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45291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45291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45291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45291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45291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45291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45291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45291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45291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45291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45291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45291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45291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45291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45291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45291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45291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45291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45291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45291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45291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45291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45291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45291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45291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45291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45291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45291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45291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45291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45291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45291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45291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45291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45291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45291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45291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45291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45291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45291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45291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45291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45291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45291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45291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45291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45291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45291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45291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45291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45291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45291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45291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45291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45291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45291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45291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45291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45291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45291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45291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45291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45291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45291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45291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45291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45291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45291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45291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45291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45291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45291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45291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45291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45291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45291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45291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45291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45291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45291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45291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45291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45291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45291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45291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45291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45291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45291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45291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45291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45291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45291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45291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45291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45291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45291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45291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45291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45291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45291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45291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45291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45291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45291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45291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45291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45291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45291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45291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45291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45291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45291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45291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45291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45291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45291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45291</v>
      </c>
      <c r="D1259" s="99" t="s">
        <v>772</v>
      </c>
      <c r="E1259" s="99">
        <v>5</v>
      </c>
      <c r="F1259" s="99" t="s">
        <v>762</v>
      </c>
      <c r="H1259" s="484">
        <f>'Справка 8'!G20</f>
        <v>12118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45291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45291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45291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45291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45291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45291</v>
      </c>
      <c r="D1266" s="99" t="s">
        <v>786</v>
      </c>
      <c r="E1266" s="99">
        <v>5</v>
      </c>
      <c r="F1266" s="99" t="s">
        <v>771</v>
      </c>
      <c r="H1266" s="484">
        <f>'Справка 8'!G27</f>
        <v>12118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45291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45291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45291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45291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45291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45291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45291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45291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45291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45291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45291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45291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45291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45291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45291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45291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45291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45291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45291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45291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45291</v>
      </c>
      <c r="D1287" s="99" t="s">
        <v>772</v>
      </c>
      <c r="E1287" s="99">
        <v>7</v>
      </c>
      <c r="F1287" s="99" t="s">
        <v>762</v>
      </c>
      <c r="H1287" s="484">
        <f>'Справка 8'!I20</f>
        <v>19121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45291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45291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45291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45291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45291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45291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45291</v>
      </c>
      <c r="D1294" s="99" t="s">
        <v>786</v>
      </c>
      <c r="E1294" s="99">
        <v>7</v>
      </c>
      <c r="F1294" s="99" t="s">
        <v>771</v>
      </c>
      <c r="H1294" s="484">
        <f>'Справка 8'!I27</f>
        <v>19121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37" sqref="C3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2418</v>
      </c>
      <c r="D13" s="188">
        <v>2583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643</v>
      </c>
      <c r="D14" s="188">
        <v>740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>
        <v>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64</v>
      </c>
      <c r="D17" s="188">
        <v>82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>
        <f>63+3415</f>
        <v>3478</v>
      </c>
      <c r="D19" s="188">
        <f>166+3415</f>
        <v>3581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6697</v>
      </c>
      <c r="D20" s="567">
        <f>SUM(D12:D19)</f>
        <v>7083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2464</v>
      </c>
      <c r="D21" s="464">
        <v>2624</v>
      </c>
      <c r="E21" s="84" t="s">
        <v>58</v>
      </c>
      <c r="F21" s="87" t="s">
        <v>59</v>
      </c>
      <c r="G21" s="188">
        <v>8235</v>
      </c>
      <c r="H21" s="188">
        <v>8250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2359</v>
      </c>
      <c r="H22" s="583">
        <f>SUM(H23:H25)</f>
        <v>2175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1169</v>
      </c>
      <c r="H23" s="188">
        <v>985</v>
      </c>
    </row>
    <row r="24" spans="1:13" ht="15.75">
      <c r="A24" s="84" t="s">
        <v>67</v>
      </c>
      <c r="B24" s="86" t="s">
        <v>68</v>
      </c>
      <c r="C24" s="188">
        <v>6848</v>
      </c>
      <c r="D24" s="188">
        <v>6958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8</v>
      </c>
      <c r="D25" s="188">
        <v>13</v>
      </c>
      <c r="E25" s="84" t="s">
        <v>73</v>
      </c>
      <c r="F25" s="87" t="s">
        <v>74</v>
      </c>
      <c r="G25" s="188">
        <v>1190</v>
      </c>
      <c r="H25" s="188">
        <v>1190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35424</v>
      </c>
      <c r="H26" s="567">
        <f>H20+H21+H22</f>
        <v>35255</v>
      </c>
      <c r="M26" s="92"/>
    </row>
    <row r="27" spans="1:8" ht="15.75">
      <c r="A27" s="84" t="s">
        <v>79</v>
      </c>
      <c r="B27" s="86" t="s">
        <v>80</v>
      </c>
      <c r="C27" s="188">
        <f>3981+7606+32+99</f>
        <v>11718</v>
      </c>
      <c r="D27" s="188">
        <f>3981+6829+112</f>
        <v>10922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18574</v>
      </c>
      <c r="D28" s="567">
        <f>SUM(D24:D27)</f>
        <v>17893</v>
      </c>
      <c r="E28" s="193" t="s">
        <v>84</v>
      </c>
      <c r="F28" s="87" t="s">
        <v>85</v>
      </c>
      <c r="G28" s="564">
        <f>SUM(G29:G31)</f>
        <v>-17130</v>
      </c>
      <c r="H28" s="565">
        <f>SUM(H29:H31)</f>
        <v>-16596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f>867-184-26</f>
        <v>657</v>
      </c>
      <c r="H29" s="188">
        <v>867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f>-17463-324</f>
        <v>-17787</v>
      </c>
      <c r="H30" s="188">
        <v>-17463</v>
      </c>
      <c r="M30" s="92"/>
    </row>
    <row r="31" spans="1:8" ht="15.75">
      <c r="A31" s="84" t="s">
        <v>91</v>
      </c>
      <c r="B31" s="86" t="s">
        <v>92</v>
      </c>
      <c r="C31" s="188">
        <v>2983</v>
      </c>
      <c r="D31" s="187">
        <v>4116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241</v>
      </c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2983</v>
      </c>
      <c r="D33" s="567">
        <f>D31+D32</f>
        <v>4116</v>
      </c>
      <c r="E33" s="191" t="s">
        <v>101</v>
      </c>
      <c r="F33" s="87" t="s">
        <v>102</v>
      </c>
      <c r="G33" s="188"/>
      <c r="H33" s="187">
        <v>-324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-16889</v>
      </c>
      <c r="H34" s="567">
        <f>H28+H32+H33</f>
        <v>-16920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23317</v>
      </c>
      <c r="H37" s="569">
        <f>H26+H18+H34</f>
        <v>23117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474</v>
      </c>
      <c r="H40" s="552">
        <v>762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>
        <v>5737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147</v>
      </c>
      <c r="H45" s="188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278</v>
      </c>
      <c r="H49" s="188">
        <f>74+246</f>
        <v>320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425</v>
      </c>
      <c r="H50" s="565">
        <f>SUM(H44:H49)</f>
        <v>6057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1686</v>
      </c>
      <c r="H54" s="187">
        <v>1095</v>
      </c>
    </row>
    <row r="55" spans="1:8" ht="15.75">
      <c r="A55" s="94" t="s">
        <v>166</v>
      </c>
      <c r="B55" s="90" t="s">
        <v>167</v>
      </c>
      <c r="C55" s="465">
        <v>1197</v>
      </c>
      <c r="D55" s="466">
        <v>971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31915</v>
      </c>
      <c r="D56" s="571">
        <f>D20+D21+D22+D28+D33+D46+D52+D54+D55</f>
        <v>32687</v>
      </c>
      <c r="E56" s="94" t="s">
        <v>825</v>
      </c>
      <c r="F56" s="93" t="s">
        <v>172</v>
      </c>
      <c r="G56" s="568">
        <f>G50+G52+G53+G54+G55</f>
        <v>2111</v>
      </c>
      <c r="H56" s="569">
        <f>H50+H52+H53+H54+H55</f>
        <v>7152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9</v>
      </c>
      <c r="D59" s="188">
        <v>10</v>
      </c>
      <c r="E59" s="192" t="s">
        <v>180</v>
      </c>
      <c r="F59" s="473" t="s">
        <v>181</v>
      </c>
      <c r="G59" s="188">
        <v>189</v>
      </c>
      <c r="H59" s="188">
        <v>527</v>
      </c>
    </row>
    <row r="60" spans="1:13" ht="15.75">
      <c r="A60" s="84" t="s">
        <v>178</v>
      </c>
      <c r="B60" s="86" t="s">
        <v>179</v>
      </c>
      <c r="C60" s="188">
        <v>10</v>
      </c>
      <c r="D60" s="188">
        <v>39</v>
      </c>
      <c r="E60" s="84" t="s">
        <v>184</v>
      </c>
      <c r="F60" s="87" t="s">
        <v>185</v>
      </c>
      <c r="G60" s="188">
        <v>122</v>
      </c>
      <c r="H60" s="188">
        <f>74+281</f>
        <v>355</v>
      </c>
      <c r="M60" s="92"/>
    </row>
    <row r="61" spans="1:8" ht="15.75">
      <c r="A61" s="84" t="s">
        <v>182</v>
      </c>
      <c r="B61" s="86" t="s">
        <v>183</v>
      </c>
      <c r="C61" s="188">
        <v>20</v>
      </c>
      <c r="D61" s="188">
        <v>22</v>
      </c>
      <c r="E61" s="191" t="s">
        <v>188</v>
      </c>
      <c r="F61" s="87" t="s">
        <v>189</v>
      </c>
      <c r="G61" s="564">
        <f>SUM(G62:G68)</f>
        <v>32105</v>
      </c>
      <c r="H61" s="565">
        <f>SUM(H62:H68)</f>
        <v>23927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17110</v>
      </c>
      <c r="H62" s="188">
        <v>16118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8570</v>
      </c>
      <c r="H63" s="188">
        <v>2427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3008</v>
      </c>
      <c r="H64" s="188">
        <v>1978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39</v>
      </c>
      <c r="D65" s="567">
        <f>SUM(D59:D64)</f>
        <v>71</v>
      </c>
      <c r="E65" s="84" t="s">
        <v>201</v>
      </c>
      <c r="F65" s="87" t="s">
        <v>202</v>
      </c>
      <c r="G65" s="188">
        <v>1147</v>
      </c>
      <c r="H65" s="188">
        <v>977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966</v>
      </c>
      <c r="H66" s="188">
        <f>564+380+7</f>
        <v>951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470</v>
      </c>
      <c r="H67" s="188">
        <v>599</v>
      </c>
    </row>
    <row r="68" spans="1:8" ht="15.75">
      <c r="A68" s="84" t="s">
        <v>206</v>
      </c>
      <c r="B68" s="86" t="s">
        <v>207</v>
      </c>
      <c r="C68" s="188">
        <v>118</v>
      </c>
      <c r="D68" s="188">
        <v>101</v>
      </c>
      <c r="E68" s="84" t="s">
        <v>212</v>
      </c>
      <c r="F68" s="87" t="s">
        <v>213</v>
      </c>
      <c r="G68" s="188">
        <f>619+215</f>
        <v>834</v>
      </c>
      <c r="H68" s="188">
        <f>134+743</f>
        <v>877</v>
      </c>
    </row>
    <row r="69" spans="1:8" ht="15.75">
      <c r="A69" s="84" t="s">
        <v>210</v>
      </c>
      <c r="B69" s="86" t="s">
        <v>211</v>
      </c>
      <c r="C69" s="188">
        <v>1393</v>
      </c>
      <c r="D69" s="188">
        <v>1814</v>
      </c>
      <c r="E69" s="192" t="s">
        <v>79</v>
      </c>
      <c r="F69" s="87" t="s">
        <v>216</v>
      </c>
      <c r="G69" s="188">
        <v>21</v>
      </c>
      <c r="H69" s="188">
        <v>26</v>
      </c>
    </row>
    <row r="70" spans="1:8" ht="15.75">
      <c r="A70" s="84" t="s">
        <v>214</v>
      </c>
      <c r="B70" s="86" t="s">
        <v>215</v>
      </c>
      <c r="C70" s="188">
        <v>188</v>
      </c>
      <c r="D70" s="188">
        <v>199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580</v>
      </c>
      <c r="D71" s="188">
        <v>737</v>
      </c>
      <c r="E71" s="461" t="s">
        <v>47</v>
      </c>
      <c r="F71" s="89" t="s">
        <v>223</v>
      </c>
      <c r="G71" s="566">
        <f>G59+G60+G61+G69+G70</f>
        <v>32437</v>
      </c>
      <c r="H71" s="567">
        <f>H59+H60+H61+H69+H70</f>
        <v>24835</v>
      </c>
    </row>
    <row r="72" spans="1:8" ht="15.75">
      <c r="A72" s="84" t="s">
        <v>221</v>
      </c>
      <c r="B72" s="86" t="s">
        <v>222</v>
      </c>
      <c r="C72" s="188">
        <v>5</v>
      </c>
      <c r="D72" s="188">
        <v>6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2</v>
      </c>
      <c r="D73" s="188">
        <v>5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3616</v>
      </c>
      <c r="D75" s="188">
        <f>2+226+3543</f>
        <v>3771</v>
      </c>
      <c r="E75" s="472" t="s">
        <v>160</v>
      </c>
      <c r="F75" s="89" t="s">
        <v>233</v>
      </c>
      <c r="G75" s="465">
        <v>890</v>
      </c>
      <c r="H75" s="466">
        <v>1223</v>
      </c>
    </row>
    <row r="76" spans="1:8" ht="15.75">
      <c r="A76" s="469" t="s">
        <v>77</v>
      </c>
      <c r="B76" s="90" t="s">
        <v>232</v>
      </c>
      <c r="C76" s="566">
        <f>SUM(C68:C75)</f>
        <v>5902</v>
      </c>
      <c r="D76" s="567">
        <f>SUM(D68:D75)</f>
        <v>6633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223</v>
      </c>
      <c r="H77" s="466">
        <v>449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33550</v>
      </c>
      <c r="H79" s="569">
        <f>H71+H73+H75+H77</f>
        <v>26507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19121</v>
      </c>
      <c r="D83" s="187">
        <v>16638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19121</v>
      </c>
      <c r="D85" s="567">
        <f>D84+D83+D79</f>
        <v>16638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89</v>
      </c>
      <c r="D88" s="188">
        <v>40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1740</v>
      </c>
      <c r="D89" s="188">
        <v>1305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1829</v>
      </c>
      <c r="D92" s="567">
        <f>SUM(D88:D91)</f>
        <v>1345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646</v>
      </c>
      <c r="D93" s="466">
        <v>164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27537</v>
      </c>
      <c r="D94" s="571">
        <f>D65+D76+D85+D92+D93</f>
        <v>24851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59452</v>
      </c>
      <c r="D95" s="573">
        <f>D94+D56</f>
        <v>57538</v>
      </c>
      <c r="E95" s="220" t="s">
        <v>915</v>
      </c>
      <c r="F95" s="476" t="s">
        <v>268</v>
      </c>
      <c r="G95" s="572">
        <f>G37+G40+G56+G79</f>
        <v>59452</v>
      </c>
      <c r="H95" s="573">
        <f>H37+H40+H56+H79</f>
        <v>57538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9" t="s">
        <v>949</v>
      </c>
      <c r="B98" s="667">
        <f>pdeReportingDate</f>
        <v>45398</v>
      </c>
      <c r="C98" s="667"/>
      <c r="D98" s="667"/>
      <c r="E98" s="667"/>
      <c r="F98" s="667"/>
      <c r="G98" s="667"/>
      <c r="H98" s="667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68" t="str">
        <f>authorName</f>
        <v>Валентина Димитрова</v>
      </c>
      <c r="C100" s="668"/>
      <c r="D100" s="668"/>
      <c r="E100" s="668"/>
      <c r="F100" s="668"/>
      <c r="G100" s="668"/>
      <c r="H100" s="668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661"/>
      <c r="B103" s="666" t="s">
        <v>951</v>
      </c>
      <c r="C103" s="666"/>
      <c r="D103" s="666"/>
      <c r="E103" s="666"/>
      <c r="M103" s="92"/>
    </row>
    <row r="104" spans="1:5" ht="21.75" customHeight="1">
      <c r="A104" s="661"/>
      <c r="B104" s="666" t="s">
        <v>951</v>
      </c>
      <c r="C104" s="666"/>
      <c r="D104" s="666"/>
      <c r="E104" s="666"/>
    </row>
    <row r="105" spans="1:13" ht="21.75" customHeight="1">
      <c r="A105" s="661"/>
      <c r="B105" s="666" t="s">
        <v>951</v>
      </c>
      <c r="C105" s="666"/>
      <c r="D105" s="666"/>
      <c r="E105" s="666"/>
      <c r="M105" s="92"/>
    </row>
    <row r="106" spans="1:5" ht="21.75" customHeight="1">
      <c r="A106" s="661"/>
      <c r="B106" s="666" t="s">
        <v>951</v>
      </c>
      <c r="C106" s="666"/>
      <c r="D106" s="666"/>
      <c r="E106" s="666"/>
    </row>
    <row r="107" spans="1:13" ht="21.75" customHeight="1">
      <c r="A107" s="661"/>
      <c r="B107" s="666"/>
      <c r="C107" s="666"/>
      <c r="D107" s="666"/>
      <c r="E107" s="666"/>
      <c r="M107" s="92"/>
    </row>
    <row r="108" spans="1:5" ht="21.75" customHeight="1">
      <c r="A108" s="661"/>
      <c r="B108" s="666"/>
      <c r="C108" s="666"/>
      <c r="D108" s="666"/>
      <c r="E108" s="666"/>
    </row>
    <row r="109" spans="1:13" ht="21.75" customHeight="1">
      <c r="A109" s="661"/>
      <c r="B109" s="666"/>
      <c r="C109" s="666"/>
      <c r="D109" s="666"/>
      <c r="E109" s="666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6:E106"/>
    <mergeCell ref="B107:E107"/>
    <mergeCell ref="B108:E108"/>
    <mergeCell ref="B109:E109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44" sqref="G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1622</v>
      </c>
      <c r="D12" s="307">
        <v>1581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8883</v>
      </c>
      <c r="D13" s="307">
        <v>9276</v>
      </c>
      <c r="E13" s="185" t="s">
        <v>281</v>
      </c>
      <c r="F13" s="231" t="s">
        <v>282</v>
      </c>
      <c r="G13" s="307">
        <v>1</v>
      </c>
      <c r="H13" s="307">
        <v>1</v>
      </c>
    </row>
    <row r="14" spans="1:8" ht="15.75">
      <c r="A14" s="185" t="s">
        <v>283</v>
      </c>
      <c r="B14" s="181" t="s">
        <v>284</v>
      </c>
      <c r="C14" s="307">
        <v>562</v>
      </c>
      <c r="D14" s="307">
        <v>554</v>
      </c>
      <c r="E14" s="236" t="s">
        <v>285</v>
      </c>
      <c r="F14" s="231" t="s">
        <v>286</v>
      </c>
      <c r="G14" s="307">
        <v>21212</v>
      </c>
      <c r="H14" s="307">
        <v>19388</v>
      </c>
    </row>
    <row r="15" spans="1:8" ht="15.75">
      <c r="A15" s="185" t="s">
        <v>287</v>
      </c>
      <c r="B15" s="181" t="s">
        <v>288</v>
      </c>
      <c r="C15" s="307">
        <f>7935+33</f>
        <v>7968</v>
      </c>
      <c r="D15" s="307">
        <f>7749+15</f>
        <v>7764</v>
      </c>
      <c r="E15" s="236" t="s">
        <v>79</v>
      </c>
      <c r="F15" s="231" t="s">
        <v>289</v>
      </c>
      <c r="G15" s="307">
        <v>192</v>
      </c>
      <c r="H15" s="307">
        <v>74</v>
      </c>
    </row>
    <row r="16" spans="1:8" ht="15.75">
      <c r="A16" s="185" t="s">
        <v>290</v>
      </c>
      <c r="B16" s="181" t="s">
        <v>291</v>
      </c>
      <c r="C16" s="307">
        <v>1289</v>
      </c>
      <c r="D16" s="307">
        <v>1276</v>
      </c>
      <c r="E16" s="227" t="s">
        <v>52</v>
      </c>
      <c r="F16" s="255" t="s">
        <v>292</v>
      </c>
      <c r="G16" s="597">
        <f>SUM(G12:G15)</f>
        <v>21405</v>
      </c>
      <c r="H16" s="598">
        <f>SUM(H12:H15)</f>
        <v>19463</v>
      </c>
    </row>
    <row r="17" spans="1:8" ht="31.5">
      <c r="A17" s="185" t="s">
        <v>293</v>
      </c>
      <c r="B17" s="181" t="s">
        <v>294</v>
      </c>
      <c r="C17" s="307"/>
      <c r="D17" s="307">
        <v>12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>
        <v>-15</v>
      </c>
      <c r="E18" s="225" t="s">
        <v>297</v>
      </c>
      <c r="F18" s="229" t="s">
        <v>298</v>
      </c>
      <c r="G18" s="608">
        <v>28</v>
      </c>
      <c r="H18" s="608">
        <v>1119</v>
      </c>
    </row>
    <row r="19" spans="1:8" ht="15.75">
      <c r="A19" s="185" t="s">
        <v>299</v>
      </c>
      <c r="B19" s="181" t="s">
        <v>300</v>
      </c>
      <c r="C19" s="307">
        <f>1946+160</f>
        <v>2106</v>
      </c>
      <c r="D19" s="307">
        <v>566</v>
      </c>
      <c r="E19" s="185" t="s">
        <v>301</v>
      </c>
      <c r="F19" s="228" t="s">
        <v>302</v>
      </c>
      <c r="G19" s="307">
        <v>28</v>
      </c>
      <c r="H19" s="307">
        <v>1116</v>
      </c>
    </row>
    <row r="20" spans="1:8" ht="15.75">
      <c r="A20" s="226" t="s">
        <v>303</v>
      </c>
      <c r="B20" s="181" t="s">
        <v>304</v>
      </c>
      <c r="C20" s="307">
        <v>1691</v>
      </c>
      <c r="D20" s="307">
        <v>293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22430</v>
      </c>
      <c r="D22" s="598">
        <f>SUM(D12:D18)+D19</f>
        <v>21014</v>
      </c>
      <c r="E22" s="185" t="s">
        <v>309</v>
      </c>
      <c r="F22" s="228" t="s">
        <v>310</v>
      </c>
      <c r="G22" s="307">
        <v>25</v>
      </c>
      <c r="H22" s="307">
        <v>37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94</v>
      </c>
      <c r="H23" s="307">
        <v>338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2483</v>
      </c>
      <c r="H24" s="307">
        <v>658</v>
      </c>
    </row>
    <row r="25" spans="1:8" ht="31.5">
      <c r="A25" s="185" t="s">
        <v>316</v>
      </c>
      <c r="B25" s="228" t="s">
        <v>317</v>
      </c>
      <c r="C25" s="307">
        <v>1099</v>
      </c>
      <c r="D25" s="307">
        <v>1132</v>
      </c>
      <c r="E25" s="185" t="s">
        <v>318</v>
      </c>
      <c r="F25" s="228" t="s">
        <v>319</v>
      </c>
      <c r="G25" s="307">
        <v>32</v>
      </c>
      <c r="H25" s="307"/>
    </row>
    <row r="26" spans="1:8" ht="31.5">
      <c r="A26" s="185" t="s">
        <v>320</v>
      </c>
      <c r="B26" s="228" t="s">
        <v>321</v>
      </c>
      <c r="C26" s="307">
        <v>1</v>
      </c>
      <c r="D26" s="307"/>
      <c r="E26" s="185" t="s">
        <v>322</v>
      </c>
      <c r="F26" s="228" t="s">
        <v>323</v>
      </c>
      <c r="G26" s="307">
        <v>31</v>
      </c>
      <c r="H26" s="307">
        <v>44</v>
      </c>
    </row>
    <row r="27" spans="1:8" ht="31.5">
      <c r="A27" s="185" t="s">
        <v>324</v>
      </c>
      <c r="B27" s="228" t="s">
        <v>325</v>
      </c>
      <c r="C27" s="307"/>
      <c r="D27" s="307">
        <v>38</v>
      </c>
      <c r="E27" s="227" t="s">
        <v>104</v>
      </c>
      <c r="F27" s="229" t="s">
        <v>326</v>
      </c>
      <c r="G27" s="597">
        <f>SUM(G22:G26)</f>
        <v>2665</v>
      </c>
      <c r="H27" s="598">
        <f>SUM(H22:H26)</f>
        <v>1077</v>
      </c>
    </row>
    <row r="28" spans="1:8" ht="15.75">
      <c r="A28" s="185" t="s">
        <v>79</v>
      </c>
      <c r="B28" s="228" t="s">
        <v>327</v>
      </c>
      <c r="C28" s="307">
        <v>27</v>
      </c>
      <c r="D28" s="307">
        <f>1+14</f>
        <v>15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1127</v>
      </c>
      <c r="D29" s="598">
        <f>SUM(D25:D28)</f>
        <v>1185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23557</v>
      </c>
      <c r="D31" s="604">
        <f>D29+D22</f>
        <v>22199</v>
      </c>
      <c r="E31" s="242" t="s">
        <v>800</v>
      </c>
      <c r="F31" s="257" t="s">
        <v>331</v>
      </c>
      <c r="G31" s="244">
        <f>G16+G18+G27</f>
        <v>24098</v>
      </c>
      <c r="H31" s="245">
        <f>H16+H18+H27</f>
        <v>21659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541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540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23557</v>
      </c>
      <c r="D36" s="606">
        <f>D31-D34+D35</f>
        <v>22199</v>
      </c>
      <c r="E36" s="253" t="s">
        <v>346</v>
      </c>
      <c r="F36" s="247" t="s">
        <v>347</v>
      </c>
      <c r="G36" s="258">
        <f>G35-G34+G31</f>
        <v>24098</v>
      </c>
      <c r="H36" s="259">
        <f>H35-H34+H31</f>
        <v>21659</v>
      </c>
    </row>
    <row r="37" spans="1:8" ht="15.75">
      <c r="A37" s="252" t="s">
        <v>348</v>
      </c>
      <c r="B37" s="222" t="s">
        <v>349</v>
      </c>
      <c r="C37" s="603">
        <f>IF((G36-C36)&gt;0,G36-C36,0)</f>
        <v>541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540</v>
      </c>
    </row>
    <row r="38" spans="1:8" ht="15.75">
      <c r="A38" s="225" t="s">
        <v>352</v>
      </c>
      <c r="B38" s="229" t="s">
        <v>353</v>
      </c>
      <c r="C38" s="597">
        <f>C39+C40+C41</f>
        <v>629</v>
      </c>
      <c r="D38" s="598">
        <f>D39+D40+D41</f>
        <v>-94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f>614-366</f>
        <v>248</v>
      </c>
      <c r="D39" s="307">
        <v>164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366</v>
      </c>
      <c r="D40" s="307">
        <v>-268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>
        <v>15</v>
      </c>
      <c r="D41" s="307">
        <v>10</v>
      </c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88</v>
      </c>
      <c r="H42" s="235">
        <f>IF(H37&gt;0,IF(D38+H37&lt;0,0,D38+H37),IF(D37-D38&lt;0,D38-D37,0))</f>
        <v>446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314</v>
      </c>
      <c r="H43" s="607">
        <v>112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226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334</v>
      </c>
    </row>
    <row r="45" spans="1:8" ht="16.5" thickBot="1">
      <c r="A45" s="261" t="s">
        <v>371</v>
      </c>
      <c r="B45" s="262" t="s">
        <v>372</v>
      </c>
      <c r="C45" s="599">
        <f>C36+C38+C42</f>
        <v>24186</v>
      </c>
      <c r="D45" s="600">
        <f>D36+D38+D42</f>
        <v>22105</v>
      </c>
      <c r="E45" s="261" t="s">
        <v>373</v>
      </c>
      <c r="F45" s="263" t="s">
        <v>374</v>
      </c>
      <c r="G45" s="599">
        <f>G42+G36</f>
        <v>24186</v>
      </c>
      <c r="H45" s="600">
        <f>H42+H36</f>
        <v>22105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0" t="s">
        <v>950</v>
      </c>
      <c r="B47" s="670"/>
      <c r="C47" s="670"/>
      <c r="D47" s="670"/>
      <c r="E47" s="670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9" t="s">
        <v>949</v>
      </c>
      <c r="B50" s="667">
        <f>pdeReportingDate</f>
        <v>45398</v>
      </c>
      <c r="C50" s="667"/>
      <c r="D50" s="667"/>
      <c r="E50" s="667"/>
      <c r="F50" s="667"/>
      <c r="G50" s="667"/>
      <c r="H50" s="667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68" t="str">
        <f>authorName</f>
        <v>Валентина Димитрова</v>
      </c>
      <c r="C52" s="668"/>
      <c r="D52" s="668"/>
      <c r="E52" s="668"/>
      <c r="F52" s="668"/>
      <c r="G52" s="668"/>
      <c r="H52" s="668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69"/>
      <c r="C54" s="669"/>
      <c r="D54" s="669"/>
      <c r="E54" s="669"/>
      <c r="F54" s="669"/>
      <c r="G54" s="669"/>
      <c r="H54" s="669"/>
    </row>
    <row r="55" spans="1:8" ht="15.75" customHeight="1">
      <c r="A55" s="661"/>
      <c r="B55" s="666" t="s">
        <v>951</v>
      </c>
      <c r="C55" s="666"/>
      <c r="D55" s="666"/>
      <c r="E55" s="666"/>
      <c r="F55" s="543"/>
      <c r="G55" s="44"/>
      <c r="H55" s="41"/>
    </row>
    <row r="56" spans="1:8" ht="15.75" customHeight="1">
      <c r="A56" s="661"/>
      <c r="B56" s="666" t="s">
        <v>951</v>
      </c>
      <c r="C56" s="666"/>
      <c r="D56" s="666"/>
      <c r="E56" s="666"/>
      <c r="F56" s="543"/>
      <c r="G56" s="44"/>
      <c r="H56" s="41"/>
    </row>
    <row r="57" spans="1:8" ht="15.75" customHeight="1">
      <c r="A57" s="661"/>
      <c r="B57" s="666" t="s">
        <v>951</v>
      </c>
      <c r="C57" s="666"/>
      <c r="D57" s="666"/>
      <c r="E57" s="666"/>
      <c r="F57" s="543"/>
      <c r="G57" s="44"/>
      <c r="H57" s="41"/>
    </row>
    <row r="58" spans="1:8" ht="15.75" customHeight="1">
      <c r="A58" s="661"/>
      <c r="B58" s="666" t="s">
        <v>951</v>
      </c>
      <c r="C58" s="666"/>
      <c r="D58" s="666"/>
      <c r="E58" s="666"/>
      <c r="F58" s="543"/>
      <c r="G58" s="44"/>
      <c r="H58" s="41"/>
    </row>
    <row r="59" spans="1:8" ht="15.75">
      <c r="A59" s="661"/>
      <c r="B59" s="666"/>
      <c r="C59" s="666"/>
      <c r="D59" s="666"/>
      <c r="E59" s="666"/>
      <c r="F59" s="543"/>
      <c r="G59" s="44"/>
      <c r="H59" s="41"/>
    </row>
    <row r="60" spans="1:8" ht="15.75">
      <c r="A60" s="661"/>
      <c r="B60" s="666"/>
      <c r="C60" s="666"/>
      <c r="D60" s="666"/>
      <c r="E60" s="666"/>
      <c r="F60" s="543"/>
      <c r="G60" s="44"/>
      <c r="H60" s="41"/>
    </row>
    <row r="61" spans="1:8" ht="15.75">
      <c r="A61" s="661"/>
      <c r="B61" s="666"/>
      <c r="C61" s="666"/>
      <c r="D61" s="666"/>
      <c r="E61" s="666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24641</v>
      </c>
      <c r="D11" s="188">
        <v>22891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-12051</v>
      </c>
      <c r="D12" s="188">
        <v>-12945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-8668</v>
      </c>
      <c r="D14" s="188">
        <v>-8234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-2489</v>
      </c>
      <c r="D15" s="188">
        <v>-2009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-167</v>
      </c>
      <c r="D16" s="188">
        <v>-148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-2</v>
      </c>
      <c r="D19" s="188">
        <v>-3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-10</v>
      </c>
      <c r="D20" s="188">
        <v>-47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1254</v>
      </c>
      <c r="D21" s="627">
        <f>SUM(D11:D20)</f>
        <v>-495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-46-742</f>
        <v>-788</v>
      </c>
      <c r="D23" s="188">
        <f>-57-669</f>
        <v>-726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-55</v>
      </c>
      <c r="D25" s="188">
        <v>-403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470</v>
      </c>
      <c r="D26" s="188">
        <v>149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-94</v>
      </c>
      <c r="D28" s="188">
        <v>-352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>
        <v>1018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94</v>
      </c>
      <c r="D30" s="188">
        <v>338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-373</v>
      </c>
      <c r="D33" s="627">
        <f>SUM(D23:D32)</f>
        <v>24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1</v>
      </c>
      <c r="D37" s="188">
        <v>170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-236</v>
      </c>
      <c r="D38" s="188">
        <v>-235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-121</v>
      </c>
      <c r="D39" s="188">
        <v>-216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-13-36</f>
        <v>-49</v>
      </c>
      <c r="D40" s="188">
        <f>-21-22</f>
        <v>-43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8</v>
      </c>
      <c r="D42" s="188">
        <v>1044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-397</v>
      </c>
      <c r="D43" s="629">
        <f>SUM(D35:D42)</f>
        <v>720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484</v>
      </c>
      <c r="D44" s="298">
        <f>D43+D33+D21</f>
        <v>249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1345</v>
      </c>
      <c r="D45" s="300">
        <v>1096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1829</v>
      </c>
      <c r="D46" s="302">
        <f>D45+D44</f>
        <v>1345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1829</v>
      </c>
      <c r="D47" s="289">
        <v>1345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940</v>
      </c>
      <c r="G50" s="171"/>
      <c r="H50" s="171"/>
    </row>
    <row r="51" spans="1:8" ht="15.75">
      <c r="A51" s="671" t="s">
        <v>946</v>
      </c>
      <c r="B51" s="671"/>
      <c r="C51" s="671"/>
      <c r="D51" s="671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949</v>
      </c>
      <c r="B54" s="667">
        <f>pdeReportingDate</f>
        <v>45398</v>
      </c>
      <c r="C54" s="667"/>
      <c r="D54" s="667"/>
      <c r="E54" s="667"/>
      <c r="F54" s="662"/>
      <c r="G54" s="662"/>
      <c r="H54" s="662"/>
      <c r="M54" s="92"/>
    </row>
    <row r="55" spans="1:13" s="41" customFormat="1" ht="15.75">
      <c r="A55" s="659"/>
      <c r="B55" s="667"/>
      <c r="C55" s="667"/>
      <c r="D55" s="667"/>
      <c r="E55" s="667"/>
      <c r="F55" s="51"/>
      <c r="G55" s="51"/>
      <c r="H55" s="51"/>
      <c r="M55" s="92"/>
    </row>
    <row r="56" spans="1:8" s="41" customFormat="1" ht="15.75">
      <c r="A56" s="660" t="s">
        <v>8</v>
      </c>
      <c r="B56" s="668" t="str">
        <f>authorName</f>
        <v>Валентина Димитрова</v>
      </c>
      <c r="C56" s="668"/>
      <c r="D56" s="668"/>
      <c r="E56" s="668"/>
      <c r="F56" s="75"/>
      <c r="G56" s="75"/>
      <c r="H56" s="75"/>
    </row>
    <row r="57" spans="1:8" s="41" customFormat="1" ht="15.75">
      <c r="A57" s="660"/>
      <c r="B57" s="668"/>
      <c r="C57" s="668"/>
      <c r="D57" s="668"/>
      <c r="E57" s="668"/>
      <c r="F57" s="75"/>
      <c r="G57" s="75"/>
      <c r="H57" s="75"/>
    </row>
    <row r="58" spans="1:8" s="41" customFormat="1" ht="15.75">
      <c r="A58" s="660" t="s">
        <v>894</v>
      </c>
      <c r="B58" s="668"/>
      <c r="C58" s="668"/>
      <c r="D58" s="668"/>
      <c r="E58" s="668"/>
      <c r="F58" s="75"/>
      <c r="G58" s="75"/>
      <c r="H58" s="75"/>
    </row>
    <row r="59" spans="1:8" s="182" customFormat="1" ht="15.75">
      <c r="A59" s="661"/>
      <c r="B59" s="666" t="s">
        <v>951</v>
      </c>
      <c r="C59" s="666"/>
      <c r="D59" s="666"/>
      <c r="E59" s="666"/>
      <c r="F59" s="543"/>
      <c r="G59" s="44"/>
      <c r="H59" s="41"/>
    </row>
    <row r="60" spans="1:8" ht="15.75">
      <c r="A60" s="661"/>
      <c r="B60" s="666" t="s">
        <v>951</v>
      </c>
      <c r="C60" s="666"/>
      <c r="D60" s="666"/>
      <c r="E60" s="666"/>
      <c r="F60" s="543"/>
      <c r="G60" s="44"/>
      <c r="H60" s="41"/>
    </row>
    <row r="61" spans="1:8" ht="15.75">
      <c r="A61" s="661"/>
      <c r="B61" s="666" t="s">
        <v>951</v>
      </c>
      <c r="C61" s="666"/>
      <c r="D61" s="666"/>
      <c r="E61" s="666"/>
      <c r="F61" s="543"/>
      <c r="G61" s="44"/>
      <c r="H61" s="41"/>
    </row>
    <row r="62" spans="1:8" ht="15.75">
      <c r="A62" s="661"/>
      <c r="B62" s="666" t="s">
        <v>951</v>
      </c>
      <c r="C62" s="666"/>
      <c r="D62" s="666"/>
      <c r="E62" s="666"/>
      <c r="F62" s="543"/>
      <c r="G62" s="44"/>
      <c r="H62" s="41"/>
    </row>
    <row r="63" spans="1:8" ht="15.75">
      <c r="A63" s="661"/>
      <c r="B63" s="666"/>
      <c r="C63" s="666"/>
      <c r="D63" s="666"/>
      <c r="E63" s="666"/>
      <c r="F63" s="543"/>
      <c r="G63" s="44"/>
      <c r="H63" s="41"/>
    </row>
    <row r="64" spans="1:8" ht="15.75">
      <c r="A64" s="661"/>
      <c r="B64" s="666"/>
      <c r="C64" s="666"/>
      <c r="D64" s="666"/>
      <c r="E64" s="666"/>
      <c r="F64" s="543"/>
      <c r="G64" s="44"/>
      <c r="H64" s="41"/>
    </row>
    <row r="65" spans="1:8" ht="15.75">
      <c r="A65" s="661"/>
      <c r="B65" s="666"/>
      <c r="C65" s="666"/>
      <c r="D65" s="666"/>
      <c r="E65" s="666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13" sqref="L13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2" t="s">
        <v>453</v>
      </c>
      <c r="B8" s="675" t="s">
        <v>454</v>
      </c>
      <c r="C8" s="678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8" t="s">
        <v>460</v>
      </c>
      <c r="L8" s="678" t="s">
        <v>461</v>
      </c>
      <c r="M8" s="500"/>
      <c r="N8" s="501"/>
    </row>
    <row r="9" spans="1:14" s="502" customFormat="1" ht="31.5">
      <c r="A9" s="673"/>
      <c r="B9" s="676"/>
      <c r="C9" s="679"/>
      <c r="D9" s="682" t="s">
        <v>802</v>
      </c>
      <c r="E9" s="682" t="s">
        <v>456</v>
      </c>
      <c r="F9" s="504" t="s">
        <v>457</v>
      </c>
      <c r="G9" s="504"/>
      <c r="H9" s="504"/>
      <c r="I9" s="681" t="s">
        <v>458</v>
      </c>
      <c r="J9" s="681" t="s">
        <v>459</v>
      </c>
      <c r="K9" s="679"/>
      <c r="L9" s="679"/>
      <c r="M9" s="505" t="s">
        <v>801</v>
      </c>
      <c r="N9" s="501"/>
    </row>
    <row r="10" spans="1:14" s="502" customFormat="1" ht="31.5">
      <c r="A10" s="674"/>
      <c r="B10" s="677"/>
      <c r="C10" s="680"/>
      <c r="D10" s="682"/>
      <c r="E10" s="682"/>
      <c r="F10" s="503" t="s">
        <v>462</v>
      </c>
      <c r="G10" s="503" t="s">
        <v>463</v>
      </c>
      <c r="H10" s="503" t="s">
        <v>464</v>
      </c>
      <c r="I10" s="680"/>
      <c r="J10" s="680"/>
      <c r="K10" s="680"/>
      <c r="L10" s="680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8250</v>
      </c>
      <c r="F13" s="553">
        <f>'1-Баланс'!H23</f>
        <v>985</v>
      </c>
      <c r="G13" s="553">
        <f>'1-Баланс'!H24</f>
        <v>0</v>
      </c>
      <c r="H13" s="554">
        <v>1190</v>
      </c>
      <c r="I13" s="553">
        <f>'1-Баланс'!H29+'1-Баланс'!H32</f>
        <v>867</v>
      </c>
      <c r="J13" s="553">
        <f>'1-Баланс'!H30+'1-Баланс'!H33</f>
        <v>-17787</v>
      </c>
      <c r="K13" s="554"/>
      <c r="L13" s="553">
        <f>SUM(C13:K13)</f>
        <v>23117</v>
      </c>
      <c r="M13" s="555">
        <f>'1-Баланс'!H40</f>
        <v>762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4782</v>
      </c>
      <c r="D17" s="621">
        <f aca="true" t="shared" si="2" ref="D17:M17">D13+D14</f>
        <v>24830</v>
      </c>
      <c r="E17" s="621">
        <f t="shared" si="2"/>
        <v>8250</v>
      </c>
      <c r="F17" s="621">
        <f t="shared" si="2"/>
        <v>985</v>
      </c>
      <c r="G17" s="621">
        <f t="shared" si="2"/>
        <v>0</v>
      </c>
      <c r="H17" s="621">
        <f t="shared" si="2"/>
        <v>1190</v>
      </c>
      <c r="I17" s="621">
        <f t="shared" si="2"/>
        <v>867</v>
      </c>
      <c r="J17" s="621">
        <f t="shared" si="2"/>
        <v>-17787</v>
      </c>
      <c r="K17" s="621">
        <f t="shared" si="2"/>
        <v>0</v>
      </c>
      <c r="L17" s="553">
        <f t="shared" si="1"/>
        <v>23117</v>
      </c>
      <c r="M17" s="622">
        <f t="shared" si="2"/>
        <v>762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241</v>
      </c>
      <c r="J18" s="553">
        <f>+'1-Баланс'!G33</f>
        <v>0</v>
      </c>
      <c r="K18" s="554"/>
      <c r="L18" s="553">
        <f t="shared" si="1"/>
        <v>241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4782</v>
      </c>
      <c r="D31" s="621">
        <f aca="true" t="shared" si="6" ref="D31:M31">D19+D22+D23+D26+D30+D29+D17+D18</f>
        <v>24830</v>
      </c>
      <c r="E31" s="621">
        <f t="shared" si="6"/>
        <v>8250</v>
      </c>
      <c r="F31" s="621">
        <f t="shared" si="6"/>
        <v>985</v>
      </c>
      <c r="G31" s="621">
        <f t="shared" si="6"/>
        <v>0</v>
      </c>
      <c r="H31" s="621">
        <f t="shared" si="6"/>
        <v>1190</v>
      </c>
      <c r="I31" s="621">
        <f t="shared" si="6"/>
        <v>1108</v>
      </c>
      <c r="J31" s="621">
        <f t="shared" si="6"/>
        <v>-17787</v>
      </c>
      <c r="K31" s="621">
        <f t="shared" si="6"/>
        <v>0</v>
      </c>
      <c r="L31" s="553">
        <f t="shared" si="1"/>
        <v>23358</v>
      </c>
      <c r="M31" s="622">
        <f t="shared" si="6"/>
        <v>762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8250</v>
      </c>
      <c r="F34" s="556">
        <f t="shared" si="7"/>
        <v>985</v>
      </c>
      <c r="G34" s="556">
        <f t="shared" si="7"/>
        <v>0</v>
      </c>
      <c r="H34" s="556">
        <f t="shared" si="7"/>
        <v>1190</v>
      </c>
      <c r="I34" s="556">
        <f t="shared" si="7"/>
        <v>1108</v>
      </c>
      <c r="J34" s="556">
        <f t="shared" si="7"/>
        <v>-17787</v>
      </c>
      <c r="K34" s="556">
        <f t="shared" si="7"/>
        <v>0</v>
      </c>
      <c r="L34" s="619">
        <f t="shared" si="1"/>
        <v>23358</v>
      </c>
      <c r="M34" s="557">
        <f>M31+M32+M33</f>
        <v>762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9" t="s">
        <v>949</v>
      </c>
      <c r="B38" s="667">
        <f>pdeReportingDate</f>
        <v>45398</v>
      </c>
      <c r="C38" s="667"/>
      <c r="D38" s="667"/>
      <c r="E38" s="667"/>
      <c r="F38" s="667"/>
      <c r="G38" s="667"/>
      <c r="H38" s="667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68" t="str">
        <f>authorName</f>
        <v>Валентина Димитрова</v>
      </c>
      <c r="C40" s="668"/>
      <c r="D40" s="668"/>
      <c r="E40" s="668"/>
      <c r="F40" s="668"/>
      <c r="G40" s="668"/>
      <c r="H40" s="668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69"/>
      <c r="C42" s="669"/>
      <c r="D42" s="669"/>
      <c r="E42" s="669"/>
      <c r="F42" s="669"/>
      <c r="G42" s="669"/>
      <c r="H42" s="669"/>
      <c r="M42" s="160"/>
    </row>
    <row r="43" spans="1:13" ht="15.75">
      <c r="A43" s="661"/>
      <c r="B43" s="666" t="s">
        <v>951</v>
      </c>
      <c r="C43" s="666"/>
      <c r="D43" s="666"/>
      <c r="E43" s="666"/>
      <c r="F43" s="543"/>
      <c r="G43" s="44"/>
      <c r="H43" s="41"/>
      <c r="M43" s="160"/>
    </row>
    <row r="44" spans="1:13" ht="15.75">
      <c r="A44" s="661"/>
      <c r="B44" s="666" t="s">
        <v>951</v>
      </c>
      <c r="C44" s="666"/>
      <c r="D44" s="666"/>
      <c r="E44" s="666"/>
      <c r="F44" s="543"/>
      <c r="G44" s="44"/>
      <c r="H44" s="41"/>
      <c r="M44" s="160"/>
    </row>
    <row r="45" spans="1:13" ht="15.75">
      <c r="A45" s="661"/>
      <c r="B45" s="666" t="s">
        <v>951</v>
      </c>
      <c r="C45" s="666"/>
      <c r="D45" s="666"/>
      <c r="E45" s="666"/>
      <c r="F45" s="543"/>
      <c r="G45" s="44"/>
      <c r="H45" s="41"/>
      <c r="M45" s="160"/>
    </row>
    <row r="46" spans="1:13" ht="15.75">
      <c r="A46" s="661"/>
      <c r="B46" s="666" t="s">
        <v>951</v>
      </c>
      <c r="C46" s="666"/>
      <c r="D46" s="666"/>
      <c r="E46" s="666"/>
      <c r="F46" s="543"/>
      <c r="G46" s="44"/>
      <c r="H46" s="41"/>
      <c r="M46" s="160"/>
    </row>
    <row r="47" spans="1:13" ht="15.75">
      <c r="A47" s="661"/>
      <c r="B47" s="666"/>
      <c r="C47" s="666"/>
      <c r="D47" s="666"/>
      <c r="E47" s="666"/>
      <c r="F47" s="543"/>
      <c r="G47" s="44"/>
      <c r="H47" s="41"/>
      <c r="M47" s="160"/>
    </row>
    <row r="48" spans="1:13" ht="15.75">
      <c r="A48" s="661"/>
      <c r="B48" s="666"/>
      <c r="C48" s="666"/>
      <c r="D48" s="666"/>
      <c r="E48" s="666"/>
      <c r="F48" s="543"/>
      <c r="G48" s="44"/>
      <c r="H48" s="41"/>
      <c r="M48" s="160"/>
    </row>
    <row r="49" spans="1:13" ht="15.75">
      <c r="A49" s="661"/>
      <c r="B49" s="666"/>
      <c r="C49" s="666"/>
      <c r="D49" s="666"/>
      <c r="E49" s="666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B44:E44"/>
    <mergeCell ref="B45:E45"/>
    <mergeCell ref="B38:H38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E14" sqref="E1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7" t="s">
        <v>453</v>
      </c>
      <c r="B7" s="688"/>
      <c r="C7" s="69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3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3" t="s">
        <v>513</v>
      </c>
      <c r="R7" s="685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4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4"/>
      <c r="R8" s="686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/>
      <c r="F11" s="319"/>
      <c r="G11" s="320">
        <f>D11+E11-F11</f>
        <v>94</v>
      </c>
      <c r="H11" s="319"/>
      <c r="I11" s="319"/>
      <c r="J11" s="320">
        <f>G11+H11-I11</f>
        <v>94</v>
      </c>
      <c r="K11" s="319">
        <v>0</v>
      </c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/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>
        <v>861</v>
      </c>
      <c r="L12" s="319">
        <v>165</v>
      </c>
      <c r="M12" s="319"/>
      <c r="N12" s="320">
        <f aca="true" t="shared" si="4" ref="N12:N41">K12+L12-M12</f>
        <v>1026</v>
      </c>
      <c r="O12" s="319"/>
      <c r="P12" s="319"/>
      <c r="Q12" s="320">
        <f t="shared" si="0"/>
        <v>1026</v>
      </c>
      <c r="R12" s="331">
        <f t="shared" si="1"/>
        <v>2418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3042</v>
      </c>
      <c r="E13" s="319">
        <v>37</v>
      </c>
      <c r="F13" s="319"/>
      <c r="G13" s="320">
        <f t="shared" si="2"/>
        <v>3079</v>
      </c>
      <c r="H13" s="319"/>
      <c r="I13" s="319"/>
      <c r="J13" s="320">
        <f t="shared" si="3"/>
        <v>3079</v>
      </c>
      <c r="K13" s="319">
        <v>2302</v>
      </c>
      <c r="L13" s="319">
        <v>136</v>
      </c>
      <c r="M13" s="319">
        <v>2</v>
      </c>
      <c r="N13" s="320">
        <f t="shared" si="4"/>
        <v>2436</v>
      </c>
      <c r="O13" s="319"/>
      <c r="P13" s="319"/>
      <c r="Q13" s="320">
        <f t="shared" si="0"/>
        <v>2436</v>
      </c>
      <c r="R13" s="331">
        <f t="shared" si="1"/>
        <v>643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0</v>
      </c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>
        <v>0</v>
      </c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41</v>
      </c>
      <c r="E15" s="319"/>
      <c r="F15" s="319"/>
      <c r="G15" s="320">
        <f t="shared" si="2"/>
        <v>41</v>
      </c>
      <c r="H15" s="319"/>
      <c r="I15" s="319"/>
      <c r="J15" s="320">
        <f t="shared" si="3"/>
        <v>41</v>
      </c>
      <c r="K15" s="319">
        <v>38</v>
      </c>
      <c r="L15" s="319">
        <v>3</v>
      </c>
      <c r="M15" s="319"/>
      <c r="N15" s="320">
        <f t="shared" si="4"/>
        <v>41</v>
      </c>
      <c r="O15" s="319"/>
      <c r="P15" s="319"/>
      <c r="Q15" s="320">
        <f t="shared" si="0"/>
        <v>41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447</v>
      </c>
      <c r="E16" s="319"/>
      <c r="F16" s="319"/>
      <c r="G16" s="320">
        <f t="shared" si="2"/>
        <v>447</v>
      </c>
      <c r="H16" s="319"/>
      <c r="I16" s="319"/>
      <c r="J16" s="320">
        <f t="shared" si="3"/>
        <v>447</v>
      </c>
      <c r="K16" s="319">
        <v>365</v>
      </c>
      <c r="L16" s="319">
        <v>18</v>
      </c>
      <c r="M16" s="319"/>
      <c r="N16" s="320">
        <f t="shared" si="4"/>
        <v>383</v>
      </c>
      <c r="O16" s="319"/>
      <c r="P16" s="319"/>
      <c r="Q16" s="320">
        <f t="shared" si="0"/>
        <v>383</v>
      </c>
      <c r="R16" s="331">
        <f t="shared" si="1"/>
        <v>64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0</v>
      </c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4028</v>
      </c>
      <c r="E18" s="319"/>
      <c r="F18" s="319"/>
      <c r="G18" s="320">
        <f t="shared" si="2"/>
        <v>4028</v>
      </c>
      <c r="H18" s="319"/>
      <c r="I18" s="319"/>
      <c r="J18" s="320">
        <f t="shared" si="3"/>
        <v>4028</v>
      </c>
      <c r="K18" s="319">
        <v>447</v>
      </c>
      <c r="L18" s="319">
        <v>103</v>
      </c>
      <c r="M18" s="319"/>
      <c r="N18" s="320">
        <f t="shared" si="4"/>
        <v>550</v>
      </c>
      <c r="O18" s="319"/>
      <c r="P18" s="319"/>
      <c r="Q18" s="320">
        <f t="shared" si="0"/>
        <v>550</v>
      </c>
      <c r="R18" s="331">
        <f t="shared" si="1"/>
        <v>3478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11096</v>
      </c>
      <c r="E19" s="321">
        <f>SUM(E11:E18)</f>
        <v>37</v>
      </c>
      <c r="F19" s="321">
        <f>SUM(F11:F18)</f>
        <v>0</v>
      </c>
      <c r="G19" s="320">
        <f t="shared" si="2"/>
        <v>11133</v>
      </c>
      <c r="H19" s="321">
        <f>SUM(H11:H18)</f>
        <v>0</v>
      </c>
      <c r="I19" s="321">
        <f>SUM(I11:I18)</f>
        <v>0</v>
      </c>
      <c r="J19" s="320">
        <f t="shared" si="3"/>
        <v>11133</v>
      </c>
      <c r="K19" s="321">
        <f>SUM(K11:K18)</f>
        <v>4013</v>
      </c>
      <c r="L19" s="321">
        <f>SUM(L11:L18)</f>
        <v>425</v>
      </c>
      <c r="M19" s="321">
        <f>SUM(M11:M18)</f>
        <v>2</v>
      </c>
      <c r="N19" s="320">
        <f t="shared" si="4"/>
        <v>4436</v>
      </c>
      <c r="O19" s="321">
        <f>SUM(O11:O18)</f>
        <v>0</v>
      </c>
      <c r="P19" s="321">
        <f>SUM(P11:P18)</f>
        <v>0</v>
      </c>
      <c r="Q19" s="320">
        <f t="shared" si="0"/>
        <v>4436</v>
      </c>
      <c r="R19" s="331">
        <f t="shared" si="1"/>
        <v>6697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2624</v>
      </c>
      <c r="E20" s="319"/>
      <c r="F20" s="319"/>
      <c r="G20" s="320">
        <f t="shared" si="2"/>
        <v>2624</v>
      </c>
      <c r="H20" s="319"/>
      <c r="I20" s="319">
        <v>160</v>
      </c>
      <c r="J20" s="320">
        <f t="shared" si="3"/>
        <v>2464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2464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6887</v>
      </c>
      <c r="E23" s="319">
        <v>48</v>
      </c>
      <c r="F23" s="319"/>
      <c r="G23" s="320">
        <f t="shared" si="2"/>
        <v>6935</v>
      </c>
      <c r="H23" s="319"/>
      <c r="I23" s="319">
        <v>15</v>
      </c>
      <c r="J23" s="320">
        <f t="shared" si="3"/>
        <v>6920</v>
      </c>
      <c r="K23" s="319">
        <v>58</v>
      </c>
      <c r="L23" s="319">
        <v>14</v>
      </c>
      <c r="M23" s="319"/>
      <c r="N23" s="320">
        <f t="shared" si="4"/>
        <v>72</v>
      </c>
      <c r="O23" s="319"/>
      <c r="P23" s="319"/>
      <c r="Q23" s="320">
        <f t="shared" si="0"/>
        <v>72</v>
      </c>
      <c r="R23" s="331">
        <f t="shared" si="1"/>
        <v>6848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948</v>
      </c>
      <c r="E24" s="319"/>
      <c r="F24" s="319"/>
      <c r="G24" s="320">
        <f t="shared" si="2"/>
        <v>948</v>
      </c>
      <c r="H24" s="319"/>
      <c r="I24" s="319"/>
      <c r="J24" s="320">
        <f t="shared" si="3"/>
        <v>948</v>
      </c>
      <c r="K24" s="319">
        <v>935</v>
      </c>
      <c r="L24" s="319">
        <v>5</v>
      </c>
      <c r="M24" s="319"/>
      <c r="N24" s="320">
        <f t="shared" si="4"/>
        <v>940</v>
      </c>
      <c r="O24" s="319"/>
      <c r="P24" s="319"/>
      <c r="Q24" s="320">
        <f t="shared" si="0"/>
        <v>940</v>
      </c>
      <c r="R24" s="331">
        <f t="shared" si="1"/>
        <v>8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>
        <v>0</v>
      </c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11433</v>
      </c>
      <c r="E26" s="319">
        <f>764+24+2-5</f>
        <v>785</v>
      </c>
      <c r="F26" s="319"/>
      <c r="G26" s="320">
        <f t="shared" si="2"/>
        <v>12218</v>
      </c>
      <c r="H26" s="319"/>
      <c r="I26" s="319"/>
      <c r="J26" s="320">
        <f t="shared" si="3"/>
        <v>12218</v>
      </c>
      <c r="K26" s="319">
        <v>382</v>
      </c>
      <c r="L26" s="319">
        <v>118</v>
      </c>
      <c r="M26" s="319"/>
      <c r="N26" s="320">
        <f t="shared" si="4"/>
        <v>500</v>
      </c>
      <c r="O26" s="319"/>
      <c r="P26" s="319"/>
      <c r="Q26" s="320">
        <f t="shared" si="0"/>
        <v>500</v>
      </c>
      <c r="R26" s="331">
        <f t="shared" si="1"/>
        <v>11718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19268</v>
      </c>
      <c r="E27" s="323">
        <f aca="true" t="shared" si="5" ref="E27:P27">SUM(E23:E26)</f>
        <v>833</v>
      </c>
      <c r="F27" s="323">
        <f t="shared" si="5"/>
        <v>0</v>
      </c>
      <c r="G27" s="324">
        <f t="shared" si="2"/>
        <v>20101</v>
      </c>
      <c r="H27" s="323">
        <f t="shared" si="5"/>
        <v>0</v>
      </c>
      <c r="I27" s="323">
        <f t="shared" si="5"/>
        <v>15</v>
      </c>
      <c r="J27" s="324">
        <f t="shared" si="3"/>
        <v>20086</v>
      </c>
      <c r="K27" s="323">
        <f t="shared" si="5"/>
        <v>1375</v>
      </c>
      <c r="L27" s="323">
        <f t="shared" si="5"/>
        <v>137</v>
      </c>
      <c r="M27" s="323">
        <f t="shared" si="5"/>
        <v>0</v>
      </c>
      <c r="N27" s="324">
        <f t="shared" si="4"/>
        <v>1512</v>
      </c>
      <c r="O27" s="323">
        <f t="shared" si="5"/>
        <v>0</v>
      </c>
      <c r="P27" s="323">
        <f t="shared" si="5"/>
        <v>0</v>
      </c>
      <c r="Q27" s="324">
        <f t="shared" si="0"/>
        <v>1512</v>
      </c>
      <c r="R27" s="334">
        <f t="shared" si="1"/>
        <v>18574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4116</v>
      </c>
      <c r="E41" s="319">
        <v>10</v>
      </c>
      <c r="F41" s="319"/>
      <c r="G41" s="320">
        <f t="shared" si="2"/>
        <v>4126</v>
      </c>
      <c r="H41" s="319"/>
      <c r="I41" s="319">
        <v>1143</v>
      </c>
      <c r="J41" s="320">
        <f t="shared" si="3"/>
        <v>2983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2983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37104</v>
      </c>
      <c r="E42" s="340">
        <f>E19+E20+E21+E27+E40+E41</f>
        <v>880</v>
      </c>
      <c r="F42" s="340">
        <f aca="true" t="shared" si="11" ref="F42:R42">F19+F20+F21+F27+F40+F41</f>
        <v>0</v>
      </c>
      <c r="G42" s="340">
        <f t="shared" si="11"/>
        <v>37984</v>
      </c>
      <c r="H42" s="340">
        <f t="shared" si="11"/>
        <v>0</v>
      </c>
      <c r="I42" s="340">
        <f t="shared" si="11"/>
        <v>1318</v>
      </c>
      <c r="J42" s="340">
        <f t="shared" si="11"/>
        <v>36666</v>
      </c>
      <c r="K42" s="340">
        <f t="shared" si="11"/>
        <v>5388</v>
      </c>
      <c r="L42" s="340">
        <f t="shared" si="11"/>
        <v>562</v>
      </c>
      <c r="M42" s="340">
        <f t="shared" si="11"/>
        <v>2</v>
      </c>
      <c r="N42" s="340">
        <f t="shared" si="11"/>
        <v>5948</v>
      </c>
      <c r="O42" s="340">
        <f t="shared" si="11"/>
        <v>0</v>
      </c>
      <c r="P42" s="340">
        <f t="shared" si="11"/>
        <v>0</v>
      </c>
      <c r="Q42" s="340">
        <f t="shared" si="11"/>
        <v>5948</v>
      </c>
      <c r="R42" s="341">
        <f t="shared" si="11"/>
        <v>30718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9" t="s">
        <v>949</v>
      </c>
      <c r="C45" s="667">
        <f>pdeReportingDate</f>
        <v>45398</v>
      </c>
      <c r="D45" s="667"/>
      <c r="E45" s="667"/>
      <c r="F45" s="667"/>
      <c r="G45" s="667"/>
      <c r="H45" s="667"/>
      <c r="I45" s="667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68" t="str">
        <f>authorName</f>
        <v>Валентина Димитрова</v>
      </c>
      <c r="D47" s="668"/>
      <c r="E47" s="668"/>
      <c r="F47" s="668"/>
      <c r="G47" s="668"/>
      <c r="H47" s="668"/>
      <c r="I47" s="668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69"/>
      <c r="D49" s="669"/>
      <c r="E49" s="669"/>
      <c r="F49" s="669"/>
      <c r="G49" s="669"/>
      <c r="H49" s="669"/>
      <c r="I49" s="669"/>
    </row>
    <row r="50" spans="2:9" ht="15.75">
      <c r="B50" s="661"/>
      <c r="C50" s="666" t="s">
        <v>951</v>
      </c>
      <c r="D50" s="666"/>
      <c r="E50" s="666"/>
      <c r="F50" s="666"/>
      <c r="G50" s="543"/>
      <c r="H50" s="44"/>
      <c r="I50" s="41"/>
    </row>
    <row r="51" spans="2:9" ht="15.75">
      <c r="B51" s="661"/>
      <c r="C51" s="666" t="s">
        <v>951</v>
      </c>
      <c r="D51" s="666"/>
      <c r="E51" s="666"/>
      <c r="F51" s="666"/>
      <c r="G51" s="543"/>
      <c r="H51" s="44"/>
      <c r="I51" s="41"/>
    </row>
    <row r="52" spans="2:9" ht="15.75">
      <c r="B52" s="661"/>
      <c r="C52" s="666" t="s">
        <v>951</v>
      </c>
      <c r="D52" s="666"/>
      <c r="E52" s="666"/>
      <c r="F52" s="666"/>
      <c r="G52" s="543"/>
      <c r="H52" s="44"/>
      <c r="I52" s="41"/>
    </row>
    <row r="53" spans="2:9" ht="15.75">
      <c r="B53" s="661"/>
      <c r="C53" s="666" t="s">
        <v>951</v>
      </c>
      <c r="D53" s="666"/>
      <c r="E53" s="666"/>
      <c r="F53" s="666"/>
      <c r="G53" s="543"/>
      <c r="H53" s="44"/>
      <c r="I53" s="41"/>
    </row>
    <row r="54" spans="2:9" ht="15.75">
      <c r="B54" s="661"/>
      <c r="C54" s="666"/>
      <c r="D54" s="666"/>
      <c r="E54" s="666"/>
      <c r="F54" s="666"/>
      <c r="G54" s="543"/>
      <c r="H54" s="44"/>
      <c r="I54" s="41"/>
    </row>
    <row r="55" spans="2:9" ht="15.75">
      <c r="B55" s="661"/>
      <c r="C55" s="666"/>
      <c r="D55" s="666"/>
      <c r="E55" s="666"/>
      <c r="F55" s="666"/>
      <c r="G55" s="543"/>
      <c r="H55" s="44"/>
      <c r="I55" s="41"/>
    </row>
    <row r="56" spans="2:9" ht="15.75">
      <c r="B56" s="661"/>
      <c r="C56" s="666"/>
      <c r="D56" s="666"/>
      <c r="E56" s="666"/>
      <c r="F56" s="666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74" sqref="D74:D7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.7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1197</v>
      </c>
      <c r="D23" s="434"/>
      <c r="E23" s="433">
        <f t="shared" si="0"/>
        <v>1197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118</v>
      </c>
      <c r="D26" s="353">
        <f>SUM(D27:D29)</f>
        <v>118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8</v>
      </c>
      <c r="D27" s="359">
        <v>8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110</v>
      </c>
      <c r="D28" s="359">
        <v>110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1393</v>
      </c>
      <c r="D30" s="359">
        <v>1393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188</v>
      </c>
      <c r="D31" s="359">
        <v>188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580</v>
      </c>
      <c r="D32" s="359">
        <v>580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5</v>
      </c>
      <c r="D33" s="359">
        <v>5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2</v>
      </c>
      <c r="D35" s="353">
        <f>SUM(D36:D39)</f>
        <v>2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2</v>
      </c>
      <c r="D37" s="359">
        <v>2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3616</v>
      </c>
      <c r="D40" s="353">
        <f>SUM(D41:D44)</f>
        <v>3616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3616</v>
      </c>
      <c r="D44" s="359">
        <v>3616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5902</v>
      </c>
      <c r="D45" s="429">
        <f>D26+D30+D31+D33+D32+D34+D35+D40</f>
        <v>5902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7099</v>
      </c>
      <c r="D46" s="435">
        <f>D45+D23+D21+D11</f>
        <v>5902</v>
      </c>
      <c r="E46" s="436">
        <f>E45+E23+E21+E11</f>
        <v>1197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147</v>
      </c>
      <c r="D58" s="129">
        <f>D59+D61</f>
        <v>0</v>
      </c>
      <c r="E58" s="127">
        <f t="shared" si="1"/>
        <v>147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147</v>
      </c>
      <c r="D59" s="188"/>
      <c r="E59" s="127">
        <f t="shared" si="1"/>
        <v>147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278</v>
      </c>
      <c r="D66" s="188"/>
      <c r="E66" s="127">
        <f t="shared" si="1"/>
        <v>278</v>
      </c>
      <c r="F66" s="187"/>
    </row>
    <row r="67" spans="1:6" ht="15.75">
      <c r="A67" s="361" t="s">
        <v>684</v>
      </c>
      <c r="B67" s="126" t="s">
        <v>685</v>
      </c>
      <c r="C67" s="188">
        <v>257</v>
      </c>
      <c r="D67" s="188"/>
      <c r="E67" s="127">
        <f t="shared" si="1"/>
        <v>257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425</v>
      </c>
      <c r="D68" s="426">
        <f>D54+D58+D63+D64+D65+D66</f>
        <v>0</v>
      </c>
      <c r="E68" s="427">
        <f t="shared" si="1"/>
        <v>425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1686</v>
      </c>
      <c r="D70" s="188"/>
      <c r="E70" s="127">
        <f t="shared" si="1"/>
        <v>1686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17110</v>
      </c>
      <c r="D73" s="128">
        <f>SUM(D74:D76)</f>
        <v>17110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f>17110-16559</f>
        <v>551</v>
      </c>
      <c r="D74" s="188">
        <v>551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f>10431+6128</f>
        <v>16559</v>
      </c>
      <c r="D76" s="188">
        <v>16559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189</v>
      </c>
      <c r="D77" s="129">
        <f>D78+D80</f>
        <v>189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189</v>
      </c>
      <c r="D78" s="188">
        <v>189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122</v>
      </c>
      <c r="D82" s="129">
        <f>SUM(D83:D86)</f>
        <v>122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122</v>
      </c>
      <c r="D86" s="188">
        <v>122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14995</v>
      </c>
      <c r="D87" s="125">
        <f>SUM(D88:D92)+D96</f>
        <v>14995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8570</v>
      </c>
      <c r="D88" s="188">
        <v>8570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3008</v>
      </c>
      <c r="D89" s="188">
        <v>3008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1147</v>
      </c>
      <c r="D90" s="188">
        <v>1147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966</v>
      </c>
      <c r="D91" s="188">
        <v>966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834</v>
      </c>
      <c r="D92" s="129">
        <f>SUM(D93:D95)</f>
        <v>834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215</v>
      </c>
      <c r="D93" s="188">
        <v>215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304</v>
      </c>
      <c r="D94" s="188">
        <v>304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315</v>
      </c>
      <c r="D95" s="188">
        <v>315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470</v>
      </c>
      <c r="D96" s="188">
        <v>470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21</v>
      </c>
      <c r="D97" s="188">
        <v>21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32437</v>
      </c>
      <c r="D98" s="424">
        <f>D87+D82+D77+D73+D97</f>
        <v>32437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34548</v>
      </c>
      <c r="D99" s="418">
        <f>D98+D70+D68</f>
        <v>32437</v>
      </c>
      <c r="E99" s="418">
        <f>E98+E70+E68</f>
        <v>2111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949</v>
      </c>
      <c r="B111" s="667">
        <f>pdeReportingDate</f>
        <v>45398</v>
      </c>
      <c r="C111" s="667"/>
      <c r="D111" s="667"/>
      <c r="E111" s="667"/>
      <c r="F111" s="667"/>
      <c r="G111" s="51"/>
      <c r="H111" s="51"/>
    </row>
    <row r="112" spans="1:8" ht="15.75">
      <c r="A112" s="659"/>
      <c r="B112" s="667"/>
      <c r="C112" s="667"/>
      <c r="D112" s="667"/>
      <c r="E112" s="667"/>
      <c r="F112" s="667"/>
      <c r="G112" s="51"/>
      <c r="H112" s="51"/>
    </row>
    <row r="113" spans="1:8" ht="15.75">
      <c r="A113" s="660" t="s">
        <v>8</v>
      </c>
      <c r="B113" s="668" t="str">
        <f>authorName</f>
        <v>Валентина Димитрова</v>
      </c>
      <c r="C113" s="668"/>
      <c r="D113" s="668"/>
      <c r="E113" s="668"/>
      <c r="F113" s="668"/>
      <c r="G113" s="75"/>
      <c r="H113" s="75"/>
    </row>
    <row r="114" spans="1:8" ht="15.75">
      <c r="A114" s="660"/>
      <c r="B114" s="668"/>
      <c r="C114" s="668"/>
      <c r="D114" s="668"/>
      <c r="E114" s="668"/>
      <c r="F114" s="668"/>
      <c r="G114" s="75"/>
      <c r="H114" s="75"/>
    </row>
    <row r="115" spans="1:8" ht="15.75">
      <c r="A115" s="660" t="s">
        <v>894</v>
      </c>
      <c r="B115" s="669"/>
      <c r="C115" s="669"/>
      <c r="D115" s="669"/>
      <c r="E115" s="669"/>
      <c r="F115" s="669"/>
      <c r="G115" s="77"/>
      <c r="H115" s="77"/>
    </row>
    <row r="116" spans="1:8" ht="15.75" customHeight="1">
      <c r="A116" s="661"/>
      <c r="B116" s="666" t="s">
        <v>951</v>
      </c>
      <c r="C116" s="666"/>
      <c r="D116" s="666"/>
      <c r="E116" s="666"/>
      <c r="F116" s="666"/>
      <c r="G116" s="661"/>
      <c r="H116" s="661"/>
    </row>
    <row r="117" spans="1:8" ht="15.75" customHeight="1">
      <c r="A117" s="661"/>
      <c r="B117" s="666" t="s">
        <v>951</v>
      </c>
      <c r="C117" s="666"/>
      <c r="D117" s="666"/>
      <c r="E117" s="666"/>
      <c r="F117" s="666"/>
      <c r="G117" s="661"/>
      <c r="H117" s="661"/>
    </row>
    <row r="118" spans="1:8" ht="15.75" customHeight="1">
      <c r="A118" s="661"/>
      <c r="B118" s="666" t="s">
        <v>951</v>
      </c>
      <c r="C118" s="666"/>
      <c r="D118" s="666"/>
      <c r="E118" s="666"/>
      <c r="F118" s="666"/>
      <c r="G118" s="661"/>
      <c r="H118" s="661"/>
    </row>
    <row r="119" spans="1:8" ht="15.75" customHeight="1">
      <c r="A119" s="661"/>
      <c r="B119" s="666" t="s">
        <v>951</v>
      </c>
      <c r="C119" s="666"/>
      <c r="D119" s="666"/>
      <c r="E119" s="666"/>
      <c r="F119" s="666"/>
      <c r="G119" s="661"/>
      <c r="H119" s="661"/>
    </row>
    <row r="120" spans="1:8" ht="15.75">
      <c r="A120" s="661"/>
      <c r="B120" s="666"/>
      <c r="C120" s="666"/>
      <c r="D120" s="666"/>
      <c r="E120" s="666"/>
      <c r="F120" s="666"/>
      <c r="G120" s="661"/>
      <c r="H120" s="661"/>
    </row>
    <row r="121" spans="1:8" ht="15.75">
      <c r="A121" s="661"/>
      <c r="B121" s="666"/>
      <c r="C121" s="666"/>
      <c r="D121" s="666"/>
      <c r="E121" s="666"/>
      <c r="F121" s="666"/>
      <c r="G121" s="661"/>
      <c r="H121" s="661"/>
    </row>
    <row r="122" spans="1:8" ht="15.75">
      <c r="A122" s="661"/>
      <c r="B122" s="666"/>
      <c r="C122" s="666"/>
      <c r="D122" s="666"/>
      <c r="E122" s="666"/>
      <c r="F122" s="666"/>
      <c r="G122" s="661"/>
      <c r="H122" s="661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1" sqref="G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05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06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04" t="s">
        <v>818</v>
      </c>
    </row>
    <row r="10" spans="1:9" s="103" customFormat="1" ht="24" customHeight="1">
      <c r="A10" s="709"/>
      <c r="B10" s="706"/>
      <c r="C10" s="711"/>
      <c r="D10" s="711"/>
      <c r="E10" s="711"/>
      <c r="F10" s="711"/>
      <c r="G10" s="106" t="s">
        <v>516</v>
      </c>
      <c r="H10" s="106" t="s">
        <v>517</v>
      </c>
      <c r="I10" s="704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>
        <f>19121-7003</f>
        <v>12118</v>
      </c>
      <c r="H20" s="440"/>
      <c r="I20" s="441">
        <f t="shared" si="0"/>
        <v>19121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12118</v>
      </c>
      <c r="H27" s="447">
        <f t="shared" si="2"/>
        <v>0</v>
      </c>
      <c r="I27" s="448">
        <f t="shared" si="0"/>
        <v>19121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9" t="s">
        <v>949</v>
      </c>
      <c r="B31" s="667">
        <f>pdeReportingDate</f>
        <v>45398</v>
      </c>
      <c r="C31" s="667"/>
      <c r="D31" s="667"/>
      <c r="E31" s="667"/>
      <c r="F31" s="667"/>
      <c r="G31" s="115"/>
      <c r="H31" s="115"/>
      <c r="I31" s="115"/>
    </row>
    <row r="32" spans="1:9" s="107" customFormat="1" ht="15.75">
      <c r="A32" s="659"/>
      <c r="B32" s="667"/>
      <c r="C32" s="667"/>
      <c r="D32" s="667"/>
      <c r="E32" s="667"/>
      <c r="F32" s="667"/>
      <c r="G32" s="115"/>
      <c r="H32" s="115"/>
      <c r="I32" s="115"/>
    </row>
    <row r="33" spans="1:9" s="107" customFormat="1" ht="15.75">
      <c r="A33" s="660" t="s">
        <v>8</v>
      </c>
      <c r="B33" s="668" t="str">
        <f>authorName</f>
        <v>Валентина Димитрова</v>
      </c>
      <c r="C33" s="668"/>
      <c r="D33" s="668"/>
      <c r="E33" s="668"/>
      <c r="F33" s="668"/>
      <c r="G33" s="115"/>
      <c r="H33" s="115"/>
      <c r="I33" s="115"/>
    </row>
    <row r="34" spans="1:9" s="107" customFormat="1" ht="15.75">
      <c r="A34" s="660"/>
      <c r="B34" s="707"/>
      <c r="C34" s="707"/>
      <c r="D34" s="707"/>
      <c r="E34" s="707"/>
      <c r="F34" s="707"/>
      <c r="G34" s="707"/>
      <c r="H34" s="707"/>
      <c r="I34" s="707"/>
    </row>
    <row r="35" spans="1:9" s="107" customFormat="1" ht="15.75">
      <c r="A35" s="660" t="s">
        <v>894</v>
      </c>
      <c r="B35" s="712"/>
      <c r="C35" s="712"/>
      <c r="D35" s="712"/>
      <c r="E35" s="712"/>
      <c r="F35" s="712"/>
      <c r="G35" s="712"/>
      <c r="H35" s="712"/>
      <c r="I35" s="712"/>
    </row>
    <row r="36" spans="1:9" s="107" customFormat="1" ht="15.75" customHeight="1">
      <c r="A36" s="661"/>
      <c r="B36" s="666" t="s">
        <v>951</v>
      </c>
      <c r="C36" s="666"/>
      <c r="D36" s="666"/>
      <c r="E36" s="666"/>
      <c r="F36" s="666"/>
      <c r="G36" s="666"/>
      <c r="H36" s="666"/>
      <c r="I36" s="666"/>
    </row>
    <row r="37" spans="1:9" s="107" customFormat="1" ht="15.75" customHeight="1">
      <c r="A37" s="661"/>
      <c r="B37" s="666" t="s">
        <v>951</v>
      </c>
      <c r="C37" s="666"/>
      <c r="D37" s="666"/>
      <c r="E37" s="666"/>
      <c r="F37" s="666"/>
      <c r="G37" s="666"/>
      <c r="H37" s="666"/>
      <c r="I37" s="666"/>
    </row>
    <row r="38" spans="1:9" s="107" customFormat="1" ht="15.75" customHeight="1">
      <c r="A38" s="661"/>
      <c r="B38" s="666" t="s">
        <v>951</v>
      </c>
      <c r="C38" s="666"/>
      <c r="D38" s="666"/>
      <c r="E38" s="666"/>
      <c r="F38" s="666"/>
      <c r="G38" s="666"/>
      <c r="H38" s="666"/>
      <c r="I38" s="666"/>
    </row>
    <row r="39" spans="1:9" s="107" customFormat="1" ht="15.75" customHeight="1">
      <c r="A39" s="661"/>
      <c r="B39" s="666" t="s">
        <v>951</v>
      </c>
      <c r="C39" s="666"/>
      <c r="D39" s="666"/>
      <c r="E39" s="666"/>
      <c r="F39" s="666"/>
      <c r="G39" s="666"/>
      <c r="H39" s="666"/>
      <c r="I39" s="666"/>
    </row>
    <row r="40" spans="1:9" s="107" customFormat="1" ht="15.75">
      <c r="A40" s="661"/>
      <c r="B40" s="666"/>
      <c r="C40" s="666"/>
      <c r="D40" s="666"/>
      <c r="E40" s="666"/>
      <c r="F40" s="666"/>
      <c r="G40" s="666"/>
      <c r="H40" s="666"/>
      <c r="I40" s="666"/>
    </row>
    <row r="41" spans="1:9" s="107" customFormat="1" ht="15.75">
      <c r="A41" s="661"/>
      <c r="B41" s="666"/>
      <c r="C41" s="666"/>
      <c r="D41" s="666"/>
      <c r="E41" s="666"/>
      <c r="F41" s="666"/>
      <c r="G41" s="666"/>
      <c r="H41" s="666"/>
      <c r="I41" s="666"/>
    </row>
    <row r="42" spans="1:9" s="107" customFormat="1" ht="15.75">
      <c r="A42" s="661"/>
      <c r="B42" s="666"/>
      <c r="C42" s="666"/>
      <c r="D42" s="666"/>
      <c r="E42" s="666"/>
      <c r="F42" s="666"/>
      <c r="G42" s="666"/>
      <c r="H42" s="666"/>
      <c r="I42" s="666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5:I35"/>
    <mergeCell ref="B36:I36"/>
    <mergeCell ref="B41:I41"/>
    <mergeCell ref="B42:I42"/>
    <mergeCell ref="B37:I37"/>
    <mergeCell ref="B38:I38"/>
    <mergeCell ref="B39:I39"/>
    <mergeCell ref="B40:I40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907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01.01.2023 г. до 31.12.2023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908</v>
      </c>
      <c r="B5" s="639" t="s">
        <v>910</v>
      </c>
      <c r="C5" s="639" t="s">
        <v>912</v>
      </c>
      <c r="D5" s="640" t="s">
        <v>914</v>
      </c>
      <c r="E5" s="639" t="s">
        <v>913</v>
      </c>
      <c r="F5" s="639" t="s">
        <v>911</v>
      </c>
      <c r="G5" s="638" t="s">
        <v>909</v>
      </c>
    </row>
    <row r="6" spans="1:7" ht="18.75" customHeight="1">
      <c r="A6" s="643" t="s">
        <v>956</v>
      </c>
      <c r="B6" s="635" t="s">
        <v>919</v>
      </c>
      <c r="C6" s="641">
        <f>'1-Баланс'!C95</f>
        <v>59452</v>
      </c>
      <c r="D6" s="642">
        <f aca="true" t="shared" si="0" ref="D6:D15">C6-E6</f>
        <v>0</v>
      </c>
      <c r="E6" s="641">
        <f>'1-Баланс'!G95</f>
        <v>59452</v>
      </c>
      <c r="F6" s="636" t="s">
        <v>920</v>
      </c>
      <c r="G6" s="643" t="s">
        <v>956</v>
      </c>
    </row>
    <row r="7" spans="1:7" ht="18.75" customHeight="1">
      <c r="A7" s="643" t="s">
        <v>956</v>
      </c>
      <c r="B7" s="635" t="s">
        <v>918</v>
      </c>
      <c r="C7" s="641">
        <f>'1-Баланс'!G37</f>
        <v>23317</v>
      </c>
      <c r="D7" s="642">
        <f t="shared" si="0"/>
        <v>18535</v>
      </c>
      <c r="E7" s="641">
        <f>'1-Баланс'!G18</f>
        <v>4782</v>
      </c>
      <c r="F7" s="636" t="s">
        <v>455</v>
      </c>
      <c r="G7" s="643" t="s">
        <v>956</v>
      </c>
    </row>
    <row r="8" spans="1:7" ht="18.75" customHeight="1">
      <c r="A8" s="643" t="s">
        <v>956</v>
      </c>
      <c r="B8" s="635" t="s">
        <v>916</v>
      </c>
      <c r="C8" s="641">
        <f>ABS('1-Баланс'!G32)-ABS('1-Баланс'!G33)</f>
        <v>241</v>
      </c>
      <c r="D8" s="642">
        <f t="shared" si="0"/>
        <v>15</v>
      </c>
      <c r="E8" s="641">
        <f>ABS('2-Отчет за доходите'!C44)-ABS('2-Отчет за доходите'!G44)</f>
        <v>226</v>
      </c>
      <c r="F8" s="636" t="s">
        <v>917</v>
      </c>
      <c r="G8" s="644" t="s">
        <v>958</v>
      </c>
    </row>
    <row r="9" spans="1:7" ht="18.75" customHeight="1">
      <c r="A9" s="643" t="s">
        <v>956</v>
      </c>
      <c r="B9" s="635" t="s">
        <v>922</v>
      </c>
      <c r="C9" s="641">
        <f>'1-Баланс'!D92</f>
        <v>1345</v>
      </c>
      <c r="D9" s="642">
        <f t="shared" si="0"/>
        <v>0</v>
      </c>
      <c r="E9" s="641">
        <f>'3-Отчет за паричния поток'!C45</f>
        <v>1345</v>
      </c>
      <c r="F9" s="636" t="s">
        <v>921</v>
      </c>
      <c r="G9" s="644" t="s">
        <v>957</v>
      </c>
    </row>
    <row r="10" spans="1:7" ht="18.75" customHeight="1">
      <c r="A10" s="643" t="s">
        <v>956</v>
      </c>
      <c r="B10" s="635" t="s">
        <v>923</v>
      </c>
      <c r="C10" s="641">
        <f>'1-Баланс'!C92</f>
        <v>1829</v>
      </c>
      <c r="D10" s="642">
        <f t="shared" si="0"/>
        <v>0</v>
      </c>
      <c r="E10" s="641">
        <f>'3-Отчет за паричния поток'!C46</f>
        <v>1829</v>
      </c>
      <c r="F10" s="636" t="s">
        <v>924</v>
      </c>
      <c r="G10" s="644" t="s">
        <v>957</v>
      </c>
    </row>
    <row r="11" spans="1:7" ht="18.75" customHeight="1">
      <c r="A11" s="643" t="s">
        <v>956</v>
      </c>
      <c r="B11" s="635" t="s">
        <v>918</v>
      </c>
      <c r="C11" s="641">
        <f>'1-Баланс'!G37</f>
        <v>23317</v>
      </c>
      <c r="D11" s="642">
        <f t="shared" si="0"/>
        <v>-41</v>
      </c>
      <c r="E11" s="641">
        <f>'4-Отчет за собствения капитал'!L34</f>
        <v>23358</v>
      </c>
      <c r="F11" s="636" t="s">
        <v>925</v>
      </c>
      <c r="G11" s="644" t="s">
        <v>959</v>
      </c>
    </row>
    <row r="12" spans="1:7" ht="18.75" customHeight="1">
      <c r="A12" s="643" t="s">
        <v>956</v>
      </c>
      <c r="B12" s="635" t="s">
        <v>926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6" t="s">
        <v>930</v>
      </c>
      <c r="G12" s="644" t="s">
        <v>960</v>
      </c>
    </row>
    <row r="13" spans="1:7" ht="18.75" customHeight="1">
      <c r="A13" s="643" t="s">
        <v>956</v>
      </c>
      <c r="B13" s="635" t="s">
        <v>927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6" t="s">
        <v>931</v>
      </c>
      <c r="G13" s="644" t="s">
        <v>960</v>
      </c>
    </row>
    <row r="14" spans="1:7" ht="18.75" customHeight="1">
      <c r="A14" s="643" t="s">
        <v>956</v>
      </c>
      <c r="B14" s="635" t="s">
        <v>928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6" t="s">
        <v>932</v>
      </c>
      <c r="G14" s="644" t="s">
        <v>960</v>
      </c>
    </row>
    <row r="15" spans="1:7" ht="18.75" customHeight="1">
      <c r="A15" s="643" t="s">
        <v>956</v>
      </c>
      <c r="B15" s="635" t="s">
        <v>929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6" t="s">
        <v>933</v>
      </c>
      <c r="G15" s="644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Borisova</cp:lastModifiedBy>
  <cp:lastPrinted>2016-09-14T10:20:26Z</cp:lastPrinted>
  <dcterms:created xsi:type="dcterms:W3CDTF">2006-09-16T00:00:00Z</dcterms:created>
  <dcterms:modified xsi:type="dcterms:W3CDTF">2024-04-17T08:46:39Z</dcterms:modified>
  <cp:category/>
  <cp:version/>
  <cp:contentType/>
  <cp:contentStatus/>
</cp:coreProperties>
</file>