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75" windowWidth="25170" windowHeight="694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<sst xmlns="http://schemas.openxmlformats.org/spreadsheetml/2006/main" count="4191" uniqueCount="974">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</sst>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:B27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4">
        <v>1</v>
      </c>
      <c r="AA1" s="665">
        <f>IF(ISBLANK(_endDate),"",_endDate)</f>
        <v>44926</v>
      </c>
    </row>
    <row r="2" spans="1:27" ht="15.75">
      <c r="A2" s="652" t="s">
        <v>937</v>
      </c>
      <c r="B2" s="647"/>
      <c r="Z2" s="664">
        <v>2</v>
      </c>
      <c r="AA2" s="665">
        <f>IF(ISBLANK(_pdeReportingDate),"",_pdeReportingDate)</f>
      </c>
    </row>
    <row r="3" spans="1:27" ht="15.75">
      <c r="A3" s="648" t="s">
        <v>934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/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0.016646971176077687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0.014015659471384695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0.009625954425265159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0.0056310612117209495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0.9756745799360331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0.9375259365450636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0.9286603538687894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0.6784245670954843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0.05074131361527144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0.7033717610494742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0.33826340853001496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0.236281343949255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1.4560280313189429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0.5849873127324551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1132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0.04896829173335641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0.07784292903642827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19.963819691577697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2583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740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3581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7083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6958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10922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17893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971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32687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39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71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101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1814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737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3771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6633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16638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16638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40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1305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1345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164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24851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57538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8250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2175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985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35255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-16596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-17463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-324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-16920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23117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762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5737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6057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1095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7152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355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23927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16118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2427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1978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977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951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599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877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24835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1223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449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26507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57538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1581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9276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554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7764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1276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12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-15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566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293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21014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1132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38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1185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22199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22199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-94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164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-268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10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22105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19388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19463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1119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1116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37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338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658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44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1077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21659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540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21659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540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446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112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334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22105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22891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-12945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-8234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-2009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-148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-47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-495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-726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-403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149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-352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1018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338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24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170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-235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-216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-43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1044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720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249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1096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1345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1345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894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894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894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894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1000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1000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-324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676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676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-17505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-17505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23451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23451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-324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23127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23127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874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874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874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874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2488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40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438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4265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10769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6760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10815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18511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36020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558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1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15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574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140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12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719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871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1445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4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6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237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247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13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101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114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361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3042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41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447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4028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11096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6887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948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11433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19268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37104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3042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41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447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4028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11096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6887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948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11433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19268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37104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697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2212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29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331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328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3597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43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930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273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1246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4843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93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40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119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425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15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109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129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554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6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9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9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861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2302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38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365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447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4013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58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935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382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1375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5388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861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2302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38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365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447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4013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58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935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382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1375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5388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2583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740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82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3581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7083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6829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13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11051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17893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31716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971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101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92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1814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737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3771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3771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6633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7604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101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92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1814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737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3771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3771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6633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6633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971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971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5737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5737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320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246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6057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1095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16118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298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15820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527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527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355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355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7809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2427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1978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977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951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877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134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443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599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26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24835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31987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16118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298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15820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527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527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355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355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7809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2427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1978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977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951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877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134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443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599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26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24835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24835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5737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5737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320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246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6057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1095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7152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9635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9635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16638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16638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D27" sqref="D2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2583</v>
      </c>
      <c r="D13" s="188">
        <v>2747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740</v>
      </c>
      <c r="D14" s="188">
        <v>276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</v>
      </c>
      <c r="D16" s="188">
        <v>11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82</v>
      </c>
      <c r="D17" s="188">
        <v>107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166+3415</f>
        <v>3581</v>
      </c>
      <c r="D19" s="188">
        <f>285+3652</f>
        <v>3937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7083</v>
      </c>
      <c r="D20" s="567">
        <f>SUM(D12:D19)</f>
        <v>7172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4">
        <v>2624</v>
      </c>
      <c r="E21" s="84" t="s">
        <v>58</v>
      </c>
      <c r="F21" s="87" t="s">
        <v>59</v>
      </c>
      <c r="G21" s="188">
        <v>8250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2175</v>
      </c>
      <c r="H22" s="583">
        <f>SUM(H23:H25)</f>
        <v>2084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985</v>
      </c>
      <c r="H23" s="188">
        <v>894</v>
      </c>
    </row>
    <row r="24" spans="1:13" ht="15.75">
      <c r="A24" s="84" t="s">
        <v>67</v>
      </c>
      <c r="B24" s="86" t="s">
        <v>68</v>
      </c>
      <c r="C24" s="188">
        <v>6958</v>
      </c>
      <c r="D24" s="188">
        <v>6375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13</v>
      </c>
      <c r="D25" s="188">
        <v>6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35255</v>
      </c>
      <c r="H26" s="567">
        <f>H20+H21+H22</f>
        <v>35174</v>
      </c>
      <c r="M26" s="92"/>
    </row>
    <row r="27" spans="1:8" ht="15.75">
      <c r="A27" s="84" t="s">
        <v>79</v>
      </c>
      <c r="B27" s="86" t="s">
        <v>80</v>
      </c>
      <c r="C27" s="188">
        <f>3981+6829+112</f>
        <v>10922</v>
      </c>
      <c r="D27" s="188">
        <f>6717+3981+87+99</f>
        <v>10884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17893</v>
      </c>
      <c r="D28" s="567">
        <f>SUM(D24:D27)</f>
        <v>17265</v>
      </c>
      <c r="E28" s="193" t="s">
        <v>84</v>
      </c>
      <c r="F28" s="87" t="s">
        <v>85</v>
      </c>
      <c r="G28" s="564">
        <f>SUM(G29:G31)</f>
        <v>-16596</v>
      </c>
      <c r="H28" s="565">
        <f>SUM(H29:H31)</f>
        <v>-16547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958-91</f>
        <v>867</v>
      </c>
      <c r="H29" s="188">
        <f>1052-94</f>
        <v>958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-17505+42</f>
        <v>-17463</v>
      </c>
      <c r="H30" s="188">
        <f>-13568-3937</f>
        <v>-17505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7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-324</v>
      </c>
      <c r="H32" s="188">
        <v>42</v>
      </c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-16920</v>
      </c>
      <c r="H34" s="567">
        <f>H28+H32+H33</f>
        <v>-16505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23117</v>
      </c>
      <c r="H37" s="569">
        <f>H26+H18+H34</f>
        <v>23451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762</v>
      </c>
      <c r="H40" s="552">
        <v>874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5737</v>
      </c>
      <c r="H44" s="187">
        <v>11811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74+246</f>
        <v>320</v>
      </c>
      <c r="H49" s="187">
        <v>174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6057</v>
      </c>
      <c r="H50" s="565">
        <f>SUM(H44:H49)</f>
        <v>11985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1095</v>
      </c>
      <c r="H54" s="187">
        <v>1101</v>
      </c>
    </row>
    <row r="55" spans="1:8" ht="15.75">
      <c r="A55" s="94" t="s">
        <v>166</v>
      </c>
      <c r="B55" s="90" t="s">
        <v>167</v>
      </c>
      <c r="C55" s="465">
        <v>971</v>
      </c>
      <c r="D55" s="466">
        <v>709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32687</v>
      </c>
      <c r="D56" s="571">
        <f>D20+D21+D22+D28+D33+D46+D52+D54+D55</f>
        <v>31886</v>
      </c>
      <c r="E56" s="94" t="s">
        <v>825</v>
      </c>
      <c r="F56" s="93" t="s">
        <v>172</v>
      </c>
      <c r="G56" s="568">
        <f>G50+G52+G53+G54+G55</f>
        <v>7152</v>
      </c>
      <c r="H56" s="569">
        <f>H50+H52+H53+H54+H55</f>
        <v>13086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8">
        <v>6</v>
      </c>
      <c r="E59" s="192" t="s">
        <v>180</v>
      </c>
      <c r="F59" s="473" t="s">
        <v>181</v>
      </c>
      <c r="G59" s="188">
        <v>527</v>
      </c>
      <c r="H59" s="188">
        <v>716</v>
      </c>
    </row>
    <row r="60" spans="1:13" ht="15.75">
      <c r="A60" s="84" t="s">
        <v>178</v>
      </c>
      <c r="B60" s="86" t="s">
        <v>179</v>
      </c>
      <c r="C60" s="188">
        <v>39</v>
      </c>
      <c r="D60" s="188">
        <v>23</v>
      </c>
      <c r="E60" s="84" t="s">
        <v>184</v>
      </c>
      <c r="F60" s="87" t="s">
        <v>185</v>
      </c>
      <c r="G60" s="188">
        <f>74+281</f>
        <v>355</v>
      </c>
      <c r="H60" s="188">
        <v>296</v>
      </c>
      <c r="M60" s="92"/>
    </row>
    <row r="61" spans="1:8" ht="15.75">
      <c r="A61" s="84" t="s">
        <v>182</v>
      </c>
      <c r="B61" s="86" t="s">
        <v>183</v>
      </c>
      <c r="C61" s="188">
        <v>22</v>
      </c>
      <c r="D61" s="188">
        <v>37</v>
      </c>
      <c r="E61" s="191" t="s">
        <v>188</v>
      </c>
      <c r="F61" s="87" t="s">
        <v>189</v>
      </c>
      <c r="G61" s="564">
        <f>SUM(G62:G68)</f>
        <v>23927</v>
      </c>
      <c r="H61" s="565">
        <f>SUM(H62:H68)</f>
        <v>16723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16118</v>
      </c>
      <c r="H62" s="188">
        <v>9507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2427</v>
      </c>
      <c r="H63" s="188">
        <v>2162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1978</v>
      </c>
      <c r="H64" s="188">
        <v>1876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71</v>
      </c>
      <c r="D65" s="567">
        <f>SUM(D59:D64)</f>
        <v>66</v>
      </c>
      <c r="E65" s="84" t="s">
        <v>201</v>
      </c>
      <c r="F65" s="87" t="s">
        <v>202</v>
      </c>
      <c r="G65" s="188">
        <v>977</v>
      </c>
      <c r="H65" s="188">
        <v>1314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564+380+7</f>
        <v>951</v>
      </c>
      <c r="H66" s="188">
        <f>1240-334</f>
        <v>906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599</v>
      </c>
      <c r="H67" s="188">
        <v>334</v>
      </c>
    </row>
    <row r="68" spans="1:8" ht="15.75">
      <c r="A68" s="84" t="s">
        <v>206</v>
      </c>
      <c r="B68" s="86" t="s">
        <v>207</v>
      </c>
      <c r="C68" s="188">
        <v>101</v>
      </c>
      <c r="D68" s="188">
        <v>90</v>
      </c>
      <c r="E68" s="84" t="s">
        <v>212</v>
      </c>
      <c r="F68" s="87" t="s">
        <v>213</v>
      </c>
      <c r="G68" s="188">
        <f>134+743</f>
        <v>877</v>
      </c>
      <c r="H68" s="188">
        <f>119+505</f>
        <v>624</v>
      </c>
    </row>
    <row r="69" spans="1:8" ht="15.75">
      <c r="A69" s="84" t="s">
        <v>210</v>
      </c>
      <c r="B69" s="86" t="s">
        <v>211</v>
      </c>
      <c r="C69" s="188">
        <v>1814</v>
      </c>
      <c r="D69" s="188">
        <v>2741</v>
      </c>
      <c r="E69" s="192" t="s">
        <v>79</v>
      </c>
      <c r="F69" s="87" t="s">
        <v>216</v>
      </c>
      <c r="G69" s="188">
        <v>26</v>
      </c>
      <c r="H69" s="188">
        <v>36</v>
      </c>
    </row>
    <row r="70" spans="1:8" ht="15.75">
      <c r="A70" s="84" t="s">
        <v>214</v>
      </c>
      <c r="B70" s="86" t="s">
        <v>215</v>
      </c>
      <c r="C70" s="188">
        <v>199</v>
      </c>
      <c r="D70" s="188">
        <v>112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737</v>
      </c>
      <c r="D71" s="188">
        <v>332</v>
      </c>
      <c r="E71" s="461" t="s">
        <v>47</v>
      </c>
      <c r="F71" s="89" t="s">
        <v>223</v>
      </c>
      <c r="G71" s="566">
        <f>G59+G60+G61+G69+G70</f>
        <v>24835</v>
      </c>
      <c r="H71" s="567">
        <f>H59+H60+H61+H69+H70</f>
        <v>17771</v>
      </c>
    </row>
    <row r="72" spans="1:8" ht="15.75">
      <c r="A72" s="84" t="s">
        <v>221</v>
      </c>
      <c r="B72" s="86" t="s">
        <v>222</v>
      </c>
      <c r="C72" s="188">
        <v>6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8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2+226+3543</f>
        <v>3771</v>
      </c>
      <c r="D75" s="188">
        <f>88+2+3750+137</f>
        <v>3977</v>
      </c>
      <c r="E75" s="472" t="s">
        <v>160</v>
      </c>
      <c r="F75" s="89" t="s">
        <v>233</v>
      </c>
      <c r="G75" s="465">
        <v>1223</v>
      </c>
      <c r="H75" s="466">
        <v>1233</v>
      </c>
    </row>
    <row r="76" spans="1:8" ht="15.75">
      <c r="A76" s="469" t="s">
        <v>77</v>
      </c>
      <c r="B76" s="90" t="s">
        <v>232</v>
      </c>
      <c r="C76" s="566">
        <f>SUM(C68:C75)</f>
        <v>6633</v>
      </c>
      <c r="D76" s="567">
        <f>SUM(D68:D75)</f>
        <v>7281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449</v>
      </c>
      <c r="H77" s="466">
        <v>252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26507</v>
      </c>
      <c r="H79" s="569">
        <f>H71+H73+H75+H77</f>
        <v>19256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16638</v>
      </c>
      <c r="D83" s="187">
        <v>15980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16638</v>
      </c>
      <c r="D85" s="567">
        <f>D84+D83+D79</f>
        <v>15980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40</v>
      </c>
      <c r="D88" s="187">
        <v>72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1305</v>
      </c>
      <c r="D89" s="187">
        <v>1024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1345</v>
      </c>
      <c r="D92" s="567">
        <f>SUM(D88:D91)</f>
        <v>1096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164</v>
      </c>
      <c r="D93" s="466">
        <v>358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24851</v>
      </c>
      <c r="D94" s="571">
        <f>D65+D76+D85+D92+D93</f>
        <v>24781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57538</v>
      </c>
      <c r="D95" s="573">
        <f>D94+D56</f>
        <v>56667</v>
      </c>
      <c r="E95" s="220" t="s">
        <v>915</v>
      </c>
      <c r="F95" s="476" t="s">
        <v>268</v>
      </c>
      <c r="G95" s="572">
        <f>G37+G40+G56+G79</f>
        <v>57538</v>
      </c>
      <c r="H95" s="573">
        <f>H37+H40+H56+H79</f>
        <v>56667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949</v>
      </c>
      <c r="B98" s="673">
        <f>pdeReportingDate</f>
      </c>
      <c r="C98" s="673"/>
      <c r="D98" s="673"/>
      <c r="E98" s="673"/>
      <c r="F98" s="673"/>
      <c r="G98" s="673"/>
      <c r="H98" s="673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1"/>
      <c r="B103" s="672" t="s">
        <v>951</v>
      </c>
      <c r="C103" s="672"/>
      <c r="D103" s="672"/>
      <c r="E103" s="672"/>
      <c r="M103" s="92"/>
    </row>
    <row r="104" spans="1:5" ht="21.75" customHeight="1">
      <c r="A104" s="661"/>
      <c r="B104" s="672" t="s">
        <v>951</v>
      </c>
      <c r="C104" s="672"/>
      <c r="D104" s="672"/>
      <c r="E104" s="672"/>
    </row>
    <row r="105" spans="1:13" ht="21.75" customHeight="1">
      <c r="A105" s="661"/>
      <c r="B105" s="672" t="s">
        <v>951</v>
      </c>
      <c r="C105" s="672"/>
      <c r="D105" s="672"/>
      <c r="E105" s="672"/>
      <c r="M105" s="92"/>
    </row>
    <row r="106" spans="1:5" ht="21.75" customHeight="1">
      <c r="A106" s="661"/>
      <c r="B106" s="672" t="s">
        <v>951</v>
      </c>
      <c r="C106" s="672"/>
      <c r="D106" s="672"/>
      <c r="E106" s="672"/>
    </row>
    <row r="107" spans="1:13" ht="21.75" customHeight="1">
      <c r="A107" s="661"/>
      <c r="B107" s="672"/>
      <c r="C107" s="672"/>
      <c r="D107" s="672"/>
      <c r="E107" s="672"/>
      <c r="M107" s="92"/>
    </row>
    <row r="108" spans="1:5" ht="21.75" customHeight="1">
      <c r="A108" s="661"/>
      <c r="B108" s="672"/>
      <c r="C108" s="672"/>
      <c r="D108" s="672"/>
      <c r="E108" s="672"/>
    </row>
    <row r="109" spans="1:13" ht="21.75" customHeight="1">
      <c r="A109" s="661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1581</v>
      </c>
      <c r="D12" s="307">
        <v>969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9276</v>
      </c>
      <c r="D13" s="307">
        <v>8199</v>
      </c>
      <c r="E13" s="185" t="s">
        <v>281</v>
      </c>
      <c r="F13" s="231" t="s">
        <v>282</v>
      </c>
      <c r="G13" s="307">
        <v>1</v>
      </c>
      <c r="H13" s="307">
        <v>4</v>
      </c>
    </row>
    <row r="14" spans="1:8" ht="15.75">
      <c r="A14" s="185" t="s">
        <v>283</v>
      </c>
      <c r="B14" s="181" t="s">
        <v>284</v>
      </c>
      <c r="C14" s="307">
        <v>554</v>
      </c>
      <c r="D14" s="307">
        <v>586</v>
      </c>
      <c r="E14" s="236" t="s">
        <v>285</v>
      </c>
      <c r="F14" s="231" t="s">
        <v>286</v>
      </c>
      <c r="G14" s="307">
        <v>19388</v>
      </c>
      <c r="H14" s="307">
        <v>17977</v>
      </c>
    </row>
    <row r="15" spans="1:8" ht="15.75">
      <c r="A15" s="185" t="s">
        <v>287</v>
      </c>
      <c r="B15" s="181" t="s">
        <v>288</v>
      </c>
      <c r="C15" s="307">
        <f>7749+15</f>
        <v>7764</v>
      </c>
      <c r="D15" s="307">
        <v>7582</v>
      </c>
      <c r="E15" s="236" t="s">
        <v>79</v>
      </c>
      <c r="F15" s="231" t="s">
        <v>289</v>
      </c>
      <c r="G15" s="307">
        <v>74</v>
      </c>
      <c r="H15" s="307">
        <f>83+60</f>
        <v>143</v>
      </c>
    </row>
    <row r="16" spans="1:8" ht="15.75">
      <c r="A16" s="185" t="s">
        <v>290</v>
      </c>
      <c r="B16" s="181" t="s">
        <v>291</v>
      </c>
      <c r="C16" s="307">
        <v>1276</v>
      </c>
      <c r="D16" s="307">
        <v>1233</v>
      </c>
      <c r="E16" s="227" t="s">
        <v>52</v>
      </c>
      <c r="F16" s="255" t="s">
        <v>292</v>
      </c>
      <c r="G16" s="597">
        <f>SUM(G12:G15)</f>
        <v>19463</v>
      </c>
      <c r="H16" s="598">
        <f>SUM(H12:H15)</f>
        <v>18124</v>
      </c>
    </row>
    <row r="17" spans="1:8" ht="31.5">
      <c r="A17" s="185" t="s">
        <v>293</v>
      </c>
      <c r="B17" s="181" t="s">
        <v>294</v>
      </c>
      <c r="C17" s="307">
        <v>12</v>
      </c>
      <c r="D17" s="307">
        <v>1742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-15</v>
      </c>
      <c r="D18" s="307">
        <v>-23</v>
      </c>
      <c r="E18" s="225" t="s">
        <v>297</v>
      </c>
      <c r="F18" s="229" t="s">
        <v>298</v>
      </c>
      <c r="G18" s="608">
        <v>1119</v>
      </c>
      <c r="H18" s="608">
        <v>2030</v>
      </c>
    </row>
    <row r="19" spans="1:8" ht="15.75">
      <c r="A19" s="185" t="s">
        <v>299</v>
      </c>
      <c r="B19" s="181" t="s">
        <v>300</v>
      </c>
      <c r="C19" s="307">
        <v>566</v>
      </c>
      <c r="D19" s="307">
        <v>608</v>
      </c>
      <c r="E19" s="185" t="s">
        <v>301</v>
      </c>
      <c r="F19" s="228" t="s">
        <v>302</v>
      </c>
      <c r="G19" s="307">
        <v>1116</v>
      </c>
      <c r="H19" s="307">
        <v>2027</v>
      </c>
    </row>
    <row r="20" spans="1:8" ht="15.75">
      <c r="A20" s="226" t="s">
        <v>303</v>
      </c>
      <c r="B20" s="181" t="s">
        <v>304</v>
      </c>
      <c r="C20" s="307">
        <v>293</v>
      </c>
      <c r="D20" s="307">
        <v>208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21014</v>
      </c>
      <c r="D22" s="598">
        <f>SUM(D12:D18)+D19</f>
        <v>20896</v>
      </c>
      <c r="E22" s="185" t="s">
        <v>309</v>
      </c>
      <c r="F22" s="228" t="s">
        <v>310</v>
      </c>
      <c r="G22" s="307">
        <v>37</v>
      </c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338</v>
      </c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658</v>
      </c>
      <c r="H24" s="307">
        <v>1762</v>
      </c>
    </row>
    <row r="25" spans="1:8" ht="31.5">
      <c r="A25" s="185" t="s">
        <v>316</v>
      </c>
      <c r="B25" s="228" t="s">
        <v>317</v>
      </c>
      <c r="C25" s="307">
        <v>1132</v>
      </c>
      <c r="D25" s="307">
        <v>1139</v>
      </c>
      <c r="E25" s="185" t="s">
        <v>318</v>
      </c>
      <c r="F25" s="228" t="s">
        <v>319</v>
      </c>
      <c r="G25" s="307"/>
      <c r="H25" s="307">
        <v>35</v>
      </c>
    </row>
    <row r="26" spans="1:8" ht="31.5">
      <c r="A26" s="185" t="s">
        <v>320</v>
      </c>
      <c r="B26" s="228" t="s">
        <v>321</v>
      </c>
      <c r="C26" s="307"/>
      <c r="D26" s="307">
        <v>1</v>
      </c>
      <c r="E26" s="185" t="s">
        <v>322</v>
      </c>
      <c r="F26" s="228" t="s">
        <v>323</v>
      </c>
      <c r="G26" s="307">
        <v>44</v>
      </c>
      <c r="H26" s="307">
        <v>65</v>
      </c>
    </row>
    <row r="27" spans="1:8" ht="31.5">
      <c r="A27" s="185" t="s">
        <v>324</v>
      </c>
      <c r="B27" s="228" t="s">
        <v>325</v>
      </c>
      <c r="C27" s="307">
        <v>38</v>
      </c>
      <c r="D27" s="307">
        <v>39</v>
      </c>
      <c r="E27" s="227" t="s">
        <v>104</v>
      </c>
      <c r="F27" s="229" t="s">
        <v>326</v>
      </c>
      <c r="G27" s="597">
        <f>SUM(G22:G26)</f>
        <v>1077</v>
      </c>
      <c r="H27" s="598">
        <f>SUM(H22:H26)</f>
        <v>1862</v>
      </c>
    </row>
    <row r="28" spans="1:8" ht="15.75">
      <c r="A28" s="185" t="s">
        <v>79</v>
      </c>
      <c r="B28" s="228" t="s">
        <v>327</v>
      </c>
      <c r="C28" s="307">
        <f>1+14</f>
        <v>15</v>
      </c>
      <c r="D28" s="307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1185</v>
      </c>
      <c r="D29" s="598">
        <f>SUM(D25:D28)</f>
        <v>1196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22199</v>
      </c>
      <c r="D31" s="604">
        <f>D29+D22</f>
        <v>22092</v>
      </c>
      <c r="E31" s="242" t="s">
        <v>800</v>
      </c>
      <c r="F31" s="257" t="s">
        <v>331</v>
      </c>
      <c r="G31" s="244">
        <f>G16+G18+G27</f>
        <v>21659</v>
      </c>
      <c r="H31" s="245">
        <f>H16+H18+H27</f>
        <v>22016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540</v>
      </c>
      <c r="H33" s="598">
        <f>IF((D31-H31)&gt;0,D31-H31,0)</f>
        <v>76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22199</v>
      </c>
      <c r="D36" s="606">
        <f>D31-D34+D35</f>
        <v>22092</v>
      </c>
      <c r="E36" s="253" t="s">
        <v>346</v>
      </c>
      <c r="F36" s="247" t="s">
        <v>347</v>
      </c>
      <c r="G36" s="258">
        <f>G35-G34+G31</f>
        <v>21659</v>
      </c>
      <c r="H36" s="259">
        <f>H35-H34+H31</f>
        <v>22016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540</v>
      </c>
      <c r="H37" s="245">
        <f>IF((D36-H36)&gt;0,D36-H36,0)</f>
        <v>76</v>
      </c>
    </row>
    <row r="38" spans="1:8" ht="15.75">
      <c r="A38" s="225" t="s">
        <v>352</v>
      </c>
      <c r="B38" s="229" t="s">
        <v>353</v>
      </c>
      <c r="C38" s="597">
        <f>C39+C40+C41</f>
        <v>-94</v>
      </c>
      <c r="D38" s="598">
        <f>D39+D40+D41</f>
        <v>-34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164</v>
      </c>
      <c r="D39" s="307">
        <v>144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-268</v>
      </c>
      <c r="D40" s="307">
        <v>-178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>
        <v>10</v>
      </c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446</v>
      </c>
      <c r="H42" s="235">
        <f>IF(H37&gt;0,IF(D38+H37&lt;0,0,D38+H37),IF(D37-D38&lt;0,D38-D37,0))</f>
        <v>42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112</v>
      </c>
      <c r="H43" s="607">
        <v>84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42</v>
      </c>
      <c r="E44" s="253" t="s">
        <v>369</v>
      </c>
      <c r="F44" s="260" t="s">
        <v>370</v>
      </c>
      <c r="G44" s="258">
        <f>IF(C42=0,IF(G42-G43&gt;0,G42-G43+C43,0),IF(C42-C43&lt;0,C43-C42+G43,0))</f>
        <v>334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22105</v>
      </c>
      <c r="D45" s="600">
        <f>D36+D38+D42</f>
        <v>22058</v>
      </c>
      <c r="E45" s="261" t="s">
        <v>373</v>
      </c>
      <c r="F45" s="263" t="s">
        <v>374</v>
      </c>
      <c r="G45" s="599">
        <f>G42+G36</f>
        <v>22105</v>
      </c>
      <c r="H45" s="600">
        <f>H42+H36</f>
        <v>22058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949</v>
      </c>
      <c r="B50" s="673">
        <f>pdeReportingDate</f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1"/>
      <c r="B55" s="672" t="s">
        <v>951</v>
      </c>
      <c r="C55" s="672"/>
      <c r="D55" s="672"/>
      <c r="E55" s="672"/>
      <c r="F55" s="543"/>
      <c r="G55" s="44"/>
      <c r="H55" s="41"/>
    </row>
    <row r="56" spans="1:8" ht="15.75" customHeight="1">
      <c r="A56" s="661"/>
      <c r="B56" s="672" t="s">
        <v>951</v>
      </c>
      <c r="C56" s="672"/>
      <c r="D56" s="672"/>
      <c r="E56" s="672"/>
      <c r="F56" s="543"/>
      <c r="G56" s="44"/>
      <c r="H56" s="41"/>
    </row>
    <row r="57" spans="1:8" ht="15.75" customHeight="1">
      <c r="A57" s="661"/>
      <c r="B57" s="672" t="s">
        <v>951</v>
      </c>
      <c r="C57" s="672"/>
      <c r="D57" s="672"/>
      <c r="E57" s="672"/>
      <c r="F57" s="543"/>
      <c r="G57" s="44"/>
      <c r="H57" s="41"/>
    </row>
    <row r="58" spans="1:8" ht="15.75" customHeight="1">
      <c r="A58" s="661"/>
      <c r="B58" s="672" t="s">
        <v>951</v>
      </c>
      <c r="C58" s="672"/>
      <c r="D58" s="672"/>
      <c r="E58" s="672"/>
      <c r="F58" s="543"/>
      <c r="G58" s="44"/>
      <c r="H58" s="41"/>
    </row>
    <row r="59" spans="1:8" ht="15.75">
      <c r="A59" s="661"/>
      <c r="B59" s="672"/>
      <c r="C59" s="672"/>
      <c r="D59" s="672"/>
      <c r="E59" s="672"/>
      <c r="F59" s="543"/>
      <c r="G59" s="44"/>
      <c r="H59" s="41"/>
    </row>
    <row r="60" spans="1:8" ht="15.75">
      <c r="A60" s="661"/>
      <c r="B60" s="672"/>
      <c r="C60" s="672"/>
      <c r="D60" s="672"/>
      <c r="E60" s="672"/>
      <c r="F60" s="543"/>
      <c r="G60" s="44"/>
      <c r="H60" s="41"/>
    </row>
    <row r="61" spans="1:8" ht="15.75">
      <c r="A61" s="661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3" sqref="A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22891</v>
      </c>
      <c r="D11" s="188">
        <v>20726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-12945</v>
      </c>
      <c r="D12" s="188">
        <v>-11027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-8234</v>
      </c>
      <c r="D14" s="188">
        <v>-8083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-2009</v>
      </c>
      <c r="D15" s="188">
        <v>-2543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-148</v>
      </c>
      <c r="D16" s="188">
        <v>-34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-47</v>
      </c>
      <c r="D20" s="188">
        <v>-60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-495</v>
      </c>
      <c r="D21" s="627">
        <f>SUM(D11:D20)</f>
        <v>-1022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-57-669</f>
        <v>-726</v>
      </c>
      <c r="D23" s="188">
        <v>-919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-403</v>
      </c>
      <c r="D25" s="188">
        <v>-107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149</v>
      </c>
      <c r="D26" s="188">
        <v>70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109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-352</v>
      </c>
      <c r="D28" s="188">
        <v>-440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1018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338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24</v>
      </c>
      <c r="D33" s="627">
        <f>SUM(D23:D32)</f>
        <v>-1284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170</v>
      </c>
      <c r="D37" s="188">
        <v>1767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-235</v>
      </c>
      <c r="D38" s="188">
        <v>-1001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-216</v>
      </c>
      <c r="D39" s="188">
        <v>-309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-21-22</f>
        <v>-43</v>
      </c>
      <c r="D40" s="188">
        <v>-77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1044</v>
      </c>
      <c r="D42" s="188">
        <v>2240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720</v>
      </c>
      <c r="D43" s="629">
        <f>SUM(D35:D42)</f>
        <v>2620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249</v>
      </c>
      <c r="D44" s="298">
        <f>D43+D33+D21</f>
        <v>314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1096</v>
      </c>
      <c r="D45" s="300">
        <v>782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1345</v>
      </c>
      <c r="D46" s="302">
        <f>D45+D44</f>
        <v>1096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1345</v>
      </c>
      <c r="D47" s="289">
        <v>1096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949</v>
      </c>
      <c r="B54" s="673">
        <f>pdeReportingDate</f>
      </c>
      <c r="C54" s="673"/>
      <c r="D54" s="673"/>
      <c r="E54" s="673"/>
      <c r="F54" s="662"/>
      <c r="G54" s="662"/>
      <c r="H54" s="662"/>
      <c r="M54" s="92"/>
    </row>
    <row r="55" spans="1:13" s="41" customFormat="1" ht="15.75">
      <c r="A55" s="659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0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0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0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1"/>
      <c r="B59" s="672" t="s">
        <v>951</v>
      </c>
      <c r="C59" s="672"/>
      <c r="D59" s="672"/>
      <c r="E59" s="672"/>
      <c r="F59" s="543"/>
      <c r="G59" s="44"/>
      <c r="H59" s="41"/>
    </row>
    <row r="60" spans="1:8" ht="15.75">
      <c r="A60" s="661"/>
      <c r="B60" s="672" t="s">
        <v>951</v>
      </c>
      <c r="C60" s="672"/>
      <c r="D60" s="672"/>
      <c r="E60" s="672"/>
      <c r="F60" s="543"/>
      <c r="G60" s="44"/>
      <c r="H60" s="41"/>
    </row>
    <row r="61" spans="1:8" ht="15.75">
      <c r="A61" s="661"/>
      <c r="B61" s="672" t="s">
        <v>951</v>
      </c>
      <c r="C61" s="672"/>
      <c r="D61" s="672"/>
      <c r="E61" s="672"/>
      <c r="F61" s="543"/>
      <c r="G61" s="44"/>
      <c r="H61" s="41"/>
    </row>
    <row r="62" spans="1:8" ht="15.75">
      <c r="A62" s="661"/>
      <c r="B62" s="672" t="s">
        <v>951</v>
      </c>
      <c r="C62" s="672"/>
      <c r="D62" s="672"/>
      <c r="E62" s="672"/>
      <c r="F62" s="543"/>
      <c r="G62" s="44"/>
      <c r="H62" s="41"/>
    </row>
    <row r="63" spans="1:8" ht="15.75">
      <c r="A63" s="661"/>
      <c r="B63" s="672"/>
      <c r="C63" s="672"/>
      <c r="D63" s="672"/>
      <c r="E63" s="672"/>
      <c r="F63" s="543"/>
      <c r="G63" s="44"/>
      <c r="H63" s="41"/>
    </row>
    <row r="64" spans="1:8" ht="15.75">
      <c r="A64" s="661"/>
      <c r="B64" s="672"/>
      <c r="C64" s="672"/>
      <c r="D64" s="672"/>
      <c r="E64" s="672"/>
      <c r="F64" s="543"/>
      <c r="G64" s="44"/>
      <c r="H64" s="41"/>
    </row>
    <row r="65" spans="1:8" ht="15.75">
      <c r="A65" s="661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66" t="s">
        <v>458</v>
      </c>
      <c r="J9" s="666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894</v>
      </c>
      <c r="G13" s="553">
        <f>'1-Баланс'!H24</f>
        <v>0</v>
      </c>
      <c r="H13" s="554">
        <v>1190</v>
      </c>
      <c r="I13" s="553">
        <f>'1-Баланс'!H29+'1-Баланс'!H32</f>
        <v>1000</v>
      </c>
      <c r="J13" s="553">
        <f>'1-Баланс'!H30+'1-Баланс'!H33</f>
        <v>-17505</v>
      </c>
      <c r="K13" s="554"/>
      <c r="L13" s="553">
        <f>SUM(C13:K13)</f>
        <v>23451</v>
      </c>
      <c r="M13" s="555">
        <f>'1-Баланс'!H40</f>
        <v>874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894</v>
      </c>
      <c r="G17" s="621">
        <f t="shared" si="2"/>
        <v>0</v>
      </c>
      <c r="H17" s="621">
        <f t="shared" si="2"/>
        <v>1190</v>
      </c>
      <c r="I17" s="621">
        <f t="shared" si="2"/>
        <v>1000</v>
      </c>
      <c r="J17" s="621">
        <f t="shared" si="2"/>
        <v>-17505</v>
      </c>
      <c r="K17" s="621">
        <f t="shared" si="2"/>
        <v>0</v>
      </c>
      <c r="L17" s="553">
        <f t="shared" si="1"/>
        <v>23451</v>
      </c>
      <c r="M17" s="622">
        <f t="shared" si="2"/>
        <v>874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-324</v>
      </c>
      <c r="J18" s="553">
        <f>+'1-Баланс'!G33</f>
        <v>0</v>
      </c>
      <c r="K18" s="554"/>
      <c r="L18" s="553">
        <f t="shared" si="1"/>
        <v>-324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894</v>
      </c>
      <c r="G31" s="621">
        <f t="shared" si="6"/>
        <v>0</v>
      </c>
      <c r="H31" s="621">
        <f t="shared" si="6"/>
        <v>1190</v>
      </c>
      <c r="I31" s="621">
        <f t="shared" si="6"/>
        <v>676</v>
      </c>
      <c r="J31" s="621">
        <f t="shared" si="6"/>
        <v>-17505</v>
      </c>
      <c r="K31" s="621">
        <f t="shared" si="6"/>
        <v>0</v>
      </c>
      <c r="L31" s="553">
        <f t="shared" si="1"/>
        <v>23127</v>
      </c>
      <c r="M31" s="622">
        <f t="shared" si="6"/>
        <v>874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894</v>
      </c>
      <c r="G34" s="556">
        <f t="shared" si="7"/>
        <v>0</v>
      </c>
      <c r="H34" s="556">
        <f t="shared" si="7"/>
        <v>1190</v>
      </c>
      <c r="I34" s="556">
        <f t="shared" si="7"/>
        <v>676</v>
      </c>
      <c r="J34" s="556">
        <f t="shared" si="7"/>
        <v>-17505</v>
      </c>
      <c r="K34" s="556">
        <f t="shared" si="7"/>
        <v>0</v>
      </c>
      <c r="L34" s="619">
        <f t="shared" si="1"/>
        <v>23127</v>
      </c>
      <c r="M34" s="557">
        <f>M31+M32+M33</f>
        <v>874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949</v>
      </c>
      <c r="B38" s="673">
        <f>pdeReportingDate</f>
      </c>
      <c r="C38" s="673"/>
      <c r="D38" s="673"/>
      <c r="E38" s="673"/>
      <c r="F38" s="673"/>
      <c r="G38" s="673"/>
      <c r="H38" s="673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1"/>
      <c r="B43" s="672" t="s">
        <v>951</v>
      </c>
      <c r="C43" s="672"/>
      <c r="D43" s="672"/>
      <c r="E43" s="672"/>
      <c r="F43" s="543"/>
      <c r="G43" s="44"/>
      <c r="H43" s="41"/>
      <c r="M43" s="160"/>
    </row>
    <row r="44" spans="1:13" ht="15.75">
      <c r="A44" s="661"/>
      <c r="B44" s="672" t="s">
        <v>951</v>
      </c>
      <c r="C44" s="672"/>
      <c r="D44" s="672"/>
      <c r="E44" s="672"/>
      <c r="F44" s="543"/>
      <c r="G44" s="44"/>
      <c r="H44" s="41"/>
      <c r="M44" s="160"/>
    </row>
    <row r="45" spans="1:13" ht="15.75">
      <c r="A45" s="661"/>
      <c r="B45" s="672" t="s">
        <v>951</v>
      </c>
      <c r="C45" s="672"/>
      <c r="D45" s="672"/>
      <c r="E45" s="672"/>
      <c r="F45" s="543"/>
      <c r="G45" s="44"/>
      <c r="H45" s="41"/>
      <c r="M45" s="160"/>
    </row>
    <row r="46" spans="1:13" ht="15.75">
      <c r="A46" s="661"/>
      <c r="B46" s="672" t="s">
        <v>951</v>
      </c>
      <c r="C46" s="672"/>
      <c r="D46" s="672"/>
      <c r="E46" s="672"/>
      <c r="F46" s="543"/>
      <c r="G46" s="44"/>
      <c r="H46" s="41"/>
      <c r="M46" s="160"/>
    </row>
    <row r="47" spans="1:13" ht="15.75">
      <c r="A47" s="661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1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1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N16" sqref="N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697</v>
      </c>
      <c r="L12" s="319">
        <v>164</v>
      </c>
      <c r="M12" s="319"/>
      <c r="N12" s="320">
        <f aca="true" t="shared" si="4" ref="N12:N41">K12+L12-M12</f>
        <v>861</v>
      </c>
      <c r="O12" s="319"/>
      <c r="P12" s="319"/>
      <c r="Q12" s="320">
        <f t="shared" si="0"/>
        <v>861</v>
      </c>
      <c r="R12" s="331">
        <f t="shared" si="1"/>
        <v>2583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2488</v>
      </c>
      <c r="E13" s="319">
        <f>321+237</f>
        <v>558</v>
      </c>
      <c r="F13" s="319">
        <v>4</v>
      </c>
      <c r="G13" s="320">
        <f t="shared" si="2"/>
        <v>3042</v>
      </c>
      <c r="H13" s="319"/>
      <c r="I13" s="319"/>
      <c r="J13" s="320">
        <f t="shared" si="3"/>
        <v>3042</v>
      </c>
      <c r="K13" s="319">
        <v>2212</v>
      </c>
      <c r="L13" s="319">
        <v>93</v>
      </c>
      <c r="M13" s="319">
        <v>3</v>
      </c>
      <c r="N13" s="320">
        <f t="shared" si="4"/>
        <v>2302</v>
      </c>
      <c r="O13" s="319"/>
      <c r="P13" s="319"/>
      <c r="Q13" s="320">
        <f t="shared" si="0"/>
        <v>2302</v>
      </c>
      <c r="R13" s="331">
        <f t="shared" si="1"/>
        <v>740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40</v>
      </c>
      <c r="E15" s="319">
        <v>1</v>
      </c>
      <c r="F15" s="319"/>
      <c r="G15" s="320">
        <f t="shared" si="2"/>
        <v>41</v>
      </c>
      <c r="H15" s="319"/>
      <c r="I15" s="319"/>
      <c r="J15" s="320">
        <f t="shared" si="3"/>
        <v>41</v>
      </c>
      <c r="K15" s="319">
        <v>29</v>
      </c>
      <c r="L15" s="319">
        <v>9</v>
      </c>
      <c r="M15" s="319"/>
      <c r="N15" s="320">
        <f t="shared" si="4"/>
        <v>38</v>
      </c>
      <c r="O15" s="319"/>
      <c r="P15" s="319"/>
      <c r="Q15" s="320">
        <f t="shared" si="0"/>
        <v>38</v>
      </c>
      <c r="R15" s="331">
        <f t="shared" si="1"/>
        <v>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438</v>
      </c>
      <c r="E16" s="319">
        <v>15</v>
      </c>
      <c r="F16" s="319">
        <v>6</v>
      </c>
      <c r="G16" s="320">
        <f t="shared" si="2"/>
        <v>447</v>
      </c>
      <c r="H16" s="319"/>
      <c r="I16" s="319"/>
      <c r="J16" s="320">
        <f t="shared" si="3"/>
        <v>447</v>
      </c>
      <c r="K16" s="319">
        <v>331</v>
      </c>
      <c r="L16" s="319">
        <v>40</v>
      </c>
      <c r="M16" s="319">
        <v>6</v>
      </c>
      <c r="N16" s="320">
        <f t="shared" si="4"/>
        <v>365</v>
      </c>
      <c r="O16" s="319"/>
      <c r="P16" s="319"/>
      <c r="Q16" s="320">
        <f t="shared" si="0"/>
        <v>365</v>
      </c>
      <c r="R16" s="331">
        <f t="shared" si="1"/>
        <v>82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4265</v>
      </c>
      <c r="E18" s="319"/>
      <c r="F18" s="319">
        <v>237</v>
      </c>
      <c r="G18" s="320">
        <f t="shared" si="2"/>
        <v>4028</v>
      </c>
      <c r="H18" s="319"/>
      <c r="I18" s="319"/>
      <c r="J18" s="320">
        <f t="shared" si="3"/>
        <v>4028</v>
      </c>
      <c r="K18" s="319">
        <v>328</v>
      </c>
      <c r="L18" s="319">
        <v>119</v>
      </c>
      <c r="M18" s="319"/>
      <c r="N18" s="320">
        <f t="shared" si="4"/>
        <v>447</v>
      </c>
      <c r="O18" s="319"/>
      <c r="P18" s="319"/>
      <c r="Q18" s="320">
        <f t="shared" si="0"/>
        <v>447</v>
      </c>
      <c r="R18" s="331">
        <f t="shared" si="1"/>
        <v>3581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10769</v>
      </c>
      <c r="E19" s="321">
        <f>SUM(E11:E18)</f>
        <v>574</v>
      </c>
      <c r="F19" s="321">
        <f>SUM(F11:F18)</f>
        <v>247</v>
      </c>
      <c r="G19" s="320">
        <f t="shared" si="2"/>
        <v>11096</v>
      </c>
      <c r="H19" s="321">
        <f>SUM(H11:H18)</f>
        <v>0</v>
      </c>
      <c r="I19" s="321">
        <f>SUM(I11:I18)</f>
        <v>0</v>
      </c>
      <c r="J19" s="320">
        <f t="shared" si="3"/>
        <v>11096</v>
      </c>
      <c r="K19" s="321">
        <f>SUM(K11:K18)</f>
        <v>3597</v>
      </c>
      <c r="L19" s="321">
        <f>SUM(L11:L18)</f>
        <v>425</v>
      </c>
      <c r="M19" s="321">
        <f>SUM(M11:M18)</f>
        <v>9</v>
      </c>
      <c r="N19" s="320">
        <f t="shared" si="4"/>
        <v>4013</v>
      </c>
      <c r="O19" s="321">
        <f>SUM(O11:O18)</f>
        <v>0</v>
      </c>
      <c r="P19" s="321">
        <f>SUM(P11:P18)</f>
        <v>0</v>
      </c>
      <c r="Q19" s="320">
        <f t="shared" si="0"/>
        <v>4013</v>
      </c>
      <c r="R19" s="331">
        <f t="shared" si="1"/>
        <v>7083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6760</v>
      </c>
      <c r="E23" s="319">
        <f>42+98</f>
        <v>140</v>
      </c>
      <c r="F23" s="319">
        <f>10+3</f>
        <v>13</v>
      </c>
      <c r="G23" s="320">
        <f t="shared" si="2"/>
        <v>6887</v>
      </c>
      <c r="H23" s="319"/>
      <c r="I23" s="319"/>
      <c r="J23" s="320">
        <f t="shared" si="3"/>
        <v>6887</v>
      </c>
      <c r="K23" s="319">
        <v>43</v>
      </c>
      <c r="L23" s="319">
        <v>15</v>
      </c>
      <c r="M23" s="319"/>
      <c r="N23" s="320">
        <f t="shared" si="4"/>
        <v>58</v>
      </c>
      <c r="O23" s="319"/>
      <c r="P23" s="319"/>
      <c r="Q23" s="320">
        <f t="shared" si="0"/>
        <v>58</v>
      </c>
      <c r="R23" s="331">
        <f t="shared" si="1"/>
        <v>6829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>
        <v>12</v>
      </c>
      <c r="F24" s="319"/>
      <c r="G24" s="320">
        <f t="shared" si="2"/>
        <v>948</v>
      </c>
      <c r="H24" s="319"/>
      <c r="I24" s="319"/>
      <c r="J24" s="320">
        <f t="shared" si="3"/>
        <v>948</v>
      </c>
      <c r="K24" s="319">
        <v>930</v>
      </c>
      <c r="L24" s="319">
        <v>5</v>
      </c>
      <c r="M24" s="319"/>
      <c r="N24" s="320">
        <f t="shared" si="4"/>
        <v>935</v>
      </c>
      <c r="O24" s="319"/>
      <c r="P24" s="319"/>
      <c r="Q24" s="320">
        <f t="shared" si="0"/>
        <v>935</v>
      </c>
      <c r="R24" s="331">
        <f t="shared" si="1"/>
        <v>13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10815</v>
      </c>
      <c r="E26" s="319">
        <f>692+27</f>
        <v>719</v>
      </c>
      <c r="F26" s="319">
        <f>98+3</f>
        <v>101</v>
      </c>
      <c r="G26" s="320">
        <f t="shared" si="2"/>
        <v>11433</v>
      </c>
      <c r="H26" s="319"/>
      <c r="I26" s="319"/>
      <c r="J26" s="320">
        <f t="shared" si="3"/>
        <v>11433</v>
      </c>
      <c r="K26" s="319">
        <v>273</v>
      </c>
      <c r="L26" s="319">
        <v>109</v>
      </c>
      <c r="M26" s="319"/>
      <c r="N26" s="320">
        <f t="shared" si="4"/>
        <v>382</v>
      </c>
      <c r="O26" s="319"/>
      <c r="P26" s="319"/>
      <c r="Q26" s="320">
        <f t="shared" si="0"/>
        <v>382</v>
      </c>
      <c r="R26" s="331">
        <f t="shared" si="1"/>
        <v>11051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18511</v>
      </c>
      <c r="E27" s="323">
        <f aca="true" t="shared" si="5" ref="E27:P27">SUM(E23:E26)</f>
        <v>871</v>
      </c>
      <c r="F27" s="323">
        <f t="shared" si="5"/>
        <v>114</v>
      </c>
      <c r="G27" s="324">
        <f t="shared" si="2"/>
        <v>19268</v>
      </c>
      <c r="H27" s="323">
        <f t="shared" si="5"/>
        <v>0</v>
      </c>
      <c r="I27" s="323">
        <f t="shared" si="5"/>
        <v>0</v>
      </c>
      <c r="J27" s="324">
        <f t="shared" si="3"/>
        <v>19268</v>
      </c>
      <c r="K27" s="323">
        <f t="shared" si="5"/>
        <v>1246</v>
      </c>
      <c r="L27" s="323">
        <f t="shared" si="5"/>
        <v>129</v>
      </c>
      <c r="M27" s="323">
        <f t="shared" si="5"/>
        <v>0</v>
      </c>
      <c r="N27" s="324">
        <f t="shared" si="4"/>
        <v>1375</v>
      </c>
      <c r="O27" s="323">
        <f t="shared" si="5"/>
        <v>0</v>
      </c>
      <c r="P27" s="323">
        <f t="shared" si="5"/>
        <v>0</v>
      </c>
      <c r="Q27" s="324">
        <f t="shared" si="0"/>
        <v>1375</v>
      </c>
      <c r="R27" s="334">
        <f t="shared" si="1"/>
        <v>17893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36020</v>
      </c>
      <c r="E42" s="340">
        <f>E19+E20+E21+E27+E40+E41</f>
        <v>1445</v>
      </c>
      <c r="F42" s="340">
        <f aca="true" t="shared" si="11" ref="F42:R42">F19+F20+F21+F27+F40+F41</f>
        <v>361</v>
      </c>
      <c r="G42" s="340">
        <f t="shared" si="11"/>
        <v>37104</v>
      </c>
      <c r="H42" s="340">
        <f t="shared" si="11"/>
        <v>0</v>
      </c>
      <c r="I42" s="340">
        <f t="shared" si="11"/>
        <v>0</v>
      </c>
      <c r="J42" s="340">
        <f t="shared" si="11"/>
        <v>37104</v>
      </c>
      <c r="K42" s="340">
        <f t="shared" si="11"/>
        <v>4843</v>
      </c>
      <c r="L42" s="340">
        <f t="shared" si="11"/>
        <v>554</v>
      </c>
      <c r="M42" s="340">
        <f t="shared" si="11"/>
        <v>9</v>
      </c>
      <c r="N42" s="340">
        <f t="shared" si="11"/>
        <v>5388</v>
      </c>
      <c r="O42" s="340">
        <f t="shared" si="11"/>
        <v>0</v>
      </c>
      <c r="P42" s="340">
        <f t="shared" si="11"/>
        <v>0</v>
      </c>
      <c r="Q42" s="340">
        <f t="shared" si="11"/>
        <v>5388</v>
      </c>
      <c r="R42" s="341">
        <f t="shared" si="11"/>
        <v>31716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949</v>
      </c>
      <c r="C45" s="673">
        <f>pdeReportingDate</f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1"/>
      <c r="C50" s="672" t="s">
        <v>951</v>
      </c>
      <c r="D50" s="672"/>
      <c r="E50" s="672"/>
      <c r="F50" s="672"/>
      <c r="G50" s="543"/>
      <c r="H50" s="44"/>
      <c r="I50" s="41"/>
    </row>
    <row r="51" spans="2:9" ht="15.75">
      <c r="B51" s="661"/>
      <c r="C51" s="672" t="s">
        <v>951</v>
      </c>
      <c r="D51" s="672"/>
      <c r="E51" s="672"/>
      <c r="F51" s="672"/>
      <c r="G51" s="543"/>
      <c r="H51" s="44"/>
      <c r="I51" s="41"/>
    </row>
    <row r="52" spans="2:9" ht="15.75">
      <c r="B52" s="661"/>
      <c r="C52" s="672" t="s">
        <v>951</v>
      </c>
      <c r="D52" s="672"/>
      <c r="E52" s="672"/>
      <c r="F52" s="672"/>
      <c r="G52" s="543"/>
      <c r="H52" s="44"/>
      <c r="I52" s="41"/>
    </row>
    <row r="53" spans="2:9" ht="15.75">
      <c r="B53" s="661"/>
      <c r="C53" s="672" t="s">
        <v>951</v>
      </c>
      <c r="D53" s="672"/>
      <c r="E53" s="672"/>
      <c r="F53" s="672"/>
      <c r="G53" s="543"/>
      <c r="H53" s="44"/>
      <c r="I53" s="41"/>
    </row>
    <row r="54" spans="2:9" ht="15.75">
      <c r="B54" s="661"/>
      <c r="C54" s="672"/>
      <c r="D54" s="672"/>
      <c r="E54" s="672"/>
      <c r="F54" s="672"/>
      <c r="G54" s="543"/>
      <c r="H54" s="44"/>
      <c r="I54" s="41"/>
    </row>
    <row r="55" spans="2:9" ht="15.75">
      <c r="B55" s="661"/>
      <c r="C55" s="672"/>
      <c r="D55" s="672"/>
      <c r="E55" s="672"/>
      <c r="F55" s="672"/>
      <c r="G55" s="543"/>
      <c r="H55" s="44"/>
      <c r="I55" s="41"/>
    </row>
    <row r="56" spans="2:9" ht="15.75">
      <c r="B56" s="661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5" sqref="D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971</v>
      </c>
      <c r="D23" s="434"/>
      <c r="E23" s="433">
        <f t="shared" si="0"/>
        <v>971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101</v>
      </c>
      <c r="D26" s="353">
        <f>SUM(D27:D29)</f>
        <v>101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9</v>
      </c>
      <c r="D27" s="359">
        <v>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92</v>
      </c>
      <c r="D28" s="359">
        <v>92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1814</v>
      </c>
      <c r="D30" s="359">
        <v>1814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199</v>
      </c>
      <c r="D31" s="359">
        <v>199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737</v>
      </c>
      <c r="D32" s="359">
        <v>737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</v>
      </c>
      <c r="D37" s="359"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3771</v>
      </c>
      <c r="D40" s="353">
        <f>SUM(D41:D44)</f>
        <v>3771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3771</v>
      </c>
      <c r="D44" s="359">
        <v>3771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6633</v>
      </c>
      <c r="D45" s="429">
        <f>D26+D30+D31+D33+D32+D34+D35+D40</f>
        <v>6633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7604</v>
      </c>
      <c r="D46" s="435">
        <f>D45+D23+D21+D11</f>
        <v>6633</v>
      </c>
      <c r="E46" s="436">
        <f>E45+E23+E21+E11</f>
        <v>971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5737</v>
      </c>
      <c r="D54" s="129">
        <f>SUM(D55:D57)</f>
        <v>0</v>
      </c>
      <c r="E54" s="127">
        <f>C54-D54</f>
        <v>5737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5737</v>
      </c>
      <c r="D55" s="188"/>
      <c r="E55" s="127">
        <f>C55-D55</f>
        <v>5737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320</v>
      </c>
      <c r="D66" s="188"/>
      <c r="E66" s="127">
        <f t="shared" si="1"/>
        <v>320</v>
      </c>
      <c r="F66" s="187"/>
    </row>
    <row r="67" spans="1:6" ht="15.75">
      <c r="A67" s="361" t="s">
        <v>684</v>
      </c>
      <c r="B67" s="126" t="s">
        <v>685</v>
      </c>
      <c r="C67" s="188">
        <v>246</v>
      </c>
      <c r="D67" s="188"/>
      <c r="E67" s="127">
        <f t="shared" si="1"/>
        <v>246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6057</v>
      </c>
      <c r="D68" s="426">
        <f>D54+D58+D63+D64+D65+D66</f>
        <v>0</v>
      </c>
      <c r="E68" s="427">
        <f t="shared" si="1"/>
        <v>6057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1095</v>
      </c>
      <c r="D70" s="188"/>
      <c r="E70" s="127">
        <f t="shared" si="1"/>
        <v>1095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16118</v>
      </c>
      <c r="D73" s="128">
        <f>SUM(D74:D76)</f>
        <v>16118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298</v>
      </c>
      <c r="D74" s="188">
        <v>298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15820</v>
      </c>
      <c r="D76" s="188">
        <v>15820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527</v>
      </c>
      <c r="D77" s="129">
        <f>D78+D80</f>
        <v>527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527</v>
      </c>
      <c r="D78" s="188">
        <v>527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355</v>
      </c>
      <c r="D82" s="129">
        <f>SUM(D83:D86)</f>
        <v>355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355</v>
      </c>
      <c r="D86" s="188">
        <v>355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7809</v>
      </c>
      <c r="D87" s="125">
        <f>SUM(D88:D92)+D96</f>
        <v>7809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2427</v>
      </c>
      <c r="D88" s="188">
        <v>2427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1978</v>
      </c>
      <c r="D89" s="188">
        <v>1978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977</v>
      </c>
      <c r="D90" s="188">
        <v>977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951</v>
      </c>
      <c r="D91" s="188">
        <v>951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877</v>
      </c>
      <c r="D92" s="129">
        <f>SUM(D93:D95)</f>
        <v>877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134</v>
      </c>
      <c r="D93" s="188">
        <v>134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443</v>
      </c>
      <c r="D94" s="188">
        <v>443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300</v>
      </c>
      <c r="D95" s="188">
        <v>300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599</v>
      </c>
      <c r="D96" s="188">
        <v>599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26</v>
      </c>
      <c r="D97" s="188">
        <v>26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24835</v>
      </c>
      <c r="D98" s="424">
        <f>D87+D82+D77+D73+D97</f>
        <v>24835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31987</v>
      </c>
      <c r="D99" s="418">
        <f>D98+D70+D68</f>
        <v>24835</v>
      </c>
      <c r="E99" s="418">
        <f>E98+E70+E68</f>
        <v>7152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949</v>
      </c>
      <c r="B111" s="673">
        <f>pdeReportingDate</f>
      </c>
      <c r="C111" s="673"/>
      <c r="D111" s="673"/>
      <c r="E111" s="673"/>
      <c r="F111" s="673"/>
      <c r="G111" s="51"/>
      <c r="H111" s="51"/>
    </row>
    <row r="112" spans="1:8" ht="15.75">
      <c r="A112" s="659"/>
      <c r="B112" s="673"/>
      <c r="C112" s="673"/>
      <c r="D112" s="673"/>
      <c r="E112" s="673"/>
      <c r="F112" s="673"/>
      <c r="G112" s="51"/>
      <c r="H112" s="51"/>
    </row>
    <row r="113" spans="1:8" ht="15.75">
      <c r="A113" s="660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0"/>
      <c r="B114" s="674"/>
      <c r="C114" s="674"/>
      <c r="D114" s="674"/>
      <c r="E114" s="674"/>
      <c r="F114" s="674"/>
      <c r="G114" s="75"/>
      <c r="H114" s="75"/>
    </row>
    <row r="115" spans="1:8" ht="15.75">
      <c r="A115" s="660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1"/>
      <c r="B116" s="672" t="s">
        <v>951</v>
      </c>
      <c r="C116" s="672"/>
      <c r="D116" s="672"/>
      <c r="E116" s="672"/>
      <c r="F116" s="672"/>
      <c r="G116" s="661"/>
      <c r="H116" s="661"/>
    </row>
    <row r="117" spans="1:8" ht="15.75" customHeight="1">
      <c r="A117" s="661"/>
      <c r="B117" s="672" t="s">
        <v>951</v>
      </c>
      <c r="C117" s="672"/>
      <c r="D117" s="672"/>
      <c r="E117" s="672"/>
      <c r="F117" s="672"/>
      <c r="G117" s="661"/>
      <c r="H117" s="661"/>
    </row>
    <row r="118" spans="1:8" ht="15.75" customHeight="1">
      <c r="A118" s="661"/>
      <c r="B118" s="672" t="s">
        <v>951</v>
      </c>
      <c r="C118" s="672"/>
      <c r="D118" s="672"/>
      <c r="E118" s="672"/>
      <c r="F118" s="672"/>
      <c r="G118" s="661"/>
      <c r="H118" s="661"/>
    </row>
    <row r="119" spans="1:8" ht="15.75" customHeight="1">
      <c r="A119" s="661"/>
      <c r="B119" s="672" t="s">
        <v>951</v>
      </c>
      <c r="C119" s="672"/>
      <c r="D119" s="672"/>
      <c r="E119" s="672"/>
      <c r="F119" s="672"/>
      <c r="G119" s="661"/>
      <c r="H119" s="661"/>
    </row>
    <row r="120" spans="1:8" ht="15.75">
      <c r="A120" s="661"/>
      <c r="B120" s="672"/>
      <c r="C120" s="672"/>
      <c r="D120" s="672"/>
      <c r="E120" s="672"/>
      <c r="F120" s="672"/>
      <c r="G120" s="661"/>
      <c r="H120" s="661"/>
    </row>
    <row r="121" spans="1:8" ht="15.75">
      <c r="A121" s="661"/>
      <c r="B121" s="672"/>
      <c r="C121" s="672"/>
      <c r="D121" s="672"/>
      <c r="E121" s="672"/>
      <c r="F121" s="672"/>
      <c r="G121" s="661"/>
      <c r="H121" s="661"/>
    </row>
    <row r="122" spans="1:8" ht="15.75">
      <c r="A122" s="661"/>
      <c r="B122" s="672"/>
      <c r="C122" s="672"/>
      <c r="D122" s="672"/>
      <c r="E122" s="672"/>
      <c r="F122" s="672"/>
      <c r="G122" s="661"/>
      <c r="H122" s="661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9635</v>
      </c>
      <c r="H20" s="440"/>
      <c r="I20" s="441">
        <f t="shared" si="0"/>
        <v>16638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9635</v>
      </c>
      <c r="H27" s="447">
        <f t="shared" si="2"/>
        <v>0</v>
      </c>
      <c r="I27" s="448">
        <f t="shared" si="0"/>
        <v>16638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949</v>
      </c>
      <c r="B31" s="673">
        <f>pdeReportingDate</f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59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0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72" t="s">
        <v>951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1"/>
      <c r="B37" s="672" t="s">
        <v>951</v>
      </c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1"/>
      <c r="B38" s="672" t="s">
        <v>951</v>
      </c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1"/>
      <c r="B39" s="672" t="s">
        <v>951</v>
      </c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1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1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1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31.12.2022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39" t="s">
        <v>912</v>
      </c>
      <c r="D5" s="640" t="s">
        <v>914</v>
      </c>
      <c r="E5" s="639" t="s">
        <v>913</v>
      </c>
      <c r="F5" s="639" t="s">
        <v>911</v>
      </c>
      <c r="G5" s="638" t="s">
        <v>909</v>
      </c>
    </row>
    <row r="6" spans="1:7" ht="18.75" customHeight="1">
      <c r="A6" s="643" t="s">
        <v>956</v>
      </c>
      <c r="B6" s="635" t="s">
        <v>919</v>
      </c>
      <c r="C6" s="641">
        <f>'1-Баланс'!C95</f>
        <v>57538</v>
      </c>
      <c r="D6" s="642">
        <f aca="true" t="shared" si="0" ref="D6:D15">C6-E6</f>
        <v>0</v>
      </c>
      <c r="E6" s="641">
        <f>'1-Баланс'!G95</f>
        <v>57538</v>
      </c>
      <c r="F6" s="636" t="s">
        <v>920</v>
      </c>
      <c r="G6" s="643" t="s">
        <v>956</v>
      </c>
    </row>
    <row r="7" spans="1:7" ht="18.75" customHeight="1">
      <c r="A7" s="643" t="s">
        <v>956</v>
      </c>
      <c r="B7" s="635" t="s">
        <v>918</v>
      </c>
      <c r="C7" s="641">
        <f>'1-Баланс'!G37</f>
        <v>23117</v>
      </c>
      <c r="D7" s="642">
        <f t="shared" si="0"/>
        <v>18335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916</v>
      </c>
      <c r="C8" s="641">
        <f>ABS('1-Баланс'!G32)-ABS('1-Баланс'!G33)</f>
        <v>324</v>
      </c>
      <c r="D8" s="642">
        <f t="shared" si="0"/>
        <v>658</v>
      </c>
      <c r="E8" s="641">
        <f>ABS('2-Отчет за доходите'!C44)-ABS('2-Отчет за доходите'!G44)</f>
        <v>-334</v>
      </c>
      <c r="F8" s="636" t="s">
        <v>917</v>
      </c>
      <c r="G8" s="644" t="s">
        <v>958</v>
      </c>
    </row>
    <row r="9" spans="1:7" ht="18.75" customHeight="1">
      <c r="A9" s="643" t="s">
        <v>956</v>
      </c>
      <c r="B9" s="635" t="s">
        <v>922</v>
      </c>
      <c r="C9" s="641">
        <f>'1-Баланс'!D92</f>
        <v>1096</v>
      </c>
      <c r="D9" s="642">
        <f t="shared" si="0"/>
        <v>0</v>
      </c>
      <c r="E9" s="641">
        <f>'3-Отчет за паричния поток'!C45</f>
        <v>1096</v>
      </c>
      <c r="F9" s="636" t="s">
        <v>921</v>
      </c>
      <c r="G9" s="644" t="s">
        <v>957</v>
      </c>
    </row>
    <row r="10" spans="1:7" ht="18.75" customHeight="1">
      <c r="A10" s="643" t="s">
        <v>956</v>
      </c>
      <c r="B10" s="635" t="s">
        <v>923</v>
      </c>
      <c r="C10" s="641">
        <f>'1-Баланс'!C92</f>
        <v>1345</v>
      </c>
      <c r="D10" s="642">
        <f t="shared" si="0"/>
        <v>0</v>
      </c>
      <c r="E10" s="641">
        <f>'3-Отчет за паричния поток'!C46</f>
        <v>1345</v>
      </c>
      <c r="F10" s="636" t="s">
        <v>924</v>
      </c>
      <c r="G10" s="644" t="s">
        <v>957</v>
      </c>
    </row>
    <row r="11" spans="1:7" ht="18.75" customHeight="1">
      <c r="A11" s="643" t="s">
        <v>956</v>
      </c>
      <c r="B11" s="635" t="s">
        <v>918</v>
      </c>
      <c r="C11" s="641">
        <f>'1-Баланс'!G37</f>
        <v>23117</v>
      </c>
      <c r="D11" s="642">
        <f t="shared" si="0"/>
        <v>-10</v>
      </c>
      <c r="E11" s="641">
        <f>'4-Отчет за собствения капитал'!L34</f>
        <v>23127</v>
      </c>
      <c r="F11" s="636" t="s">
        <v>925</v>
      </c>
      <c r="G11" s="644" t="s">
        <v>959</v>
      </c>
    </row>
    <row r="12" spans="1:7" ht="18.75" customHeight="1">
      <c r="A12" s="643" t="s">
        <v>956</v>
      </c>
      <c r="B12" s="635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930</v>
      </c>
      <c r="G12" s="644" t="s">
        <v>960</v>
      </c>
    </row>
    <row r="13" spans="1:7" ht="18.75" customHeight="1">
      <c r="A13" s="643" t="s">
        <v>956</v>
      </c>
      <c r="B13" s="635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931</v>
      </c>
      <c r="G13" s="644" t="s">
        <v>960</v>
      </c>
    </row>
    <row r="14" spans="1:7" ht="18.75" customHeight="1">
      <c r="A14" s="643" t="s">
        <v>956</v>
      </c>
      <c r="B14" s="635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932</v>
      </c>
      <c r="G14" s="644" t="s">
        <v>960</v>
      </c>
    </row>
    <row r="15" spans="1:7" ht="18.75" customHeight="1">
      <c r="A15" s="643" t="s">
        <v>956</v>
      </c>
      <c r="B15" s="635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933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2023-04-21T14:17:19Z</dcterms:modified>
  <cp:category/>
  <cp:version/>
  <cp:contentType/>
  <cp:contentStatus/>
</cp:coreProperties>
</file>