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05" windowWidth="25170" windowHeight="75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<sst xmlns="http://schemas.openxmlformats.org/spreadsheetml/2006/main" count="4325" uniqueCount="1006">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</sst>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3" sqref="A12:A1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47967</v>
      </c>
      <c r="D6" s="674">
        <f aca="true" t="shared" si="0" ref="D6:D15">C6-E6</f>
        <v>0</v>
      </c>
      <c r="E6" s="673">
        <f>'1-Баланс'!G95</f>
        <v>47967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40584</v>
      </c>
      <c r="D7" s="674">
        <f t="shared" si="0"/>
        <v>35802</v>
      </c>
      <c r="E7" s="673">
        <f>'1-Баланс'!G18</f>
        <v>4782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184</v>
      </c>
      <c r="D8" s="674">
        <f t="shared" si="0"/>
        <v>0</v>
      </c>
      <c r="E8" s="673">
        <f>ABS('2-Отчет за доходите'!C44)-ABS('2-Отчет за доходите'!G44)</f>
        <v>184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357</v>
      </c>
      <c r="D9" s="674">
        <f t="shared" si="0"/>
        <v>0</v>
      </c>
      <c r="E9" s="673">
        <f>'3-Отчет за паричния поток'!C45</f>
        <v>357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271</v>
      </c>
      <c r="D10" s="674">
        <f t="shared" si="0"/>
        <v>0</v>
      </c>
      <c r="E10" s="673">
        <f>'3-Отчет за паричния поток'!C46</f>
        <v>271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40584</v>
      </c>
      <c r="D11" s="674">
        <f t="shared" si="0"/>
        <v>0</v>
      </c>
      <c r="E11" s="673">
        <f>'4-Отчет за собствения капитал'!L34</f>
        <v>40584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3130</v>
      </c>
      <c r="D12" s="674">
        <f t="shared" si="0"/>
        <v>0</v>
      </c>
      <c r="E12" s="673">
        <f>'Справка 5'!C27+'Справка 5'!C97</f>
        <v>3130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0.022951228639141823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0.0045338064261778045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0.024922118380062305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0.0038359705630954615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1.020238339839737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1.782130981639439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1.7678184183894752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0.03917883475495157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0.03917883475495157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0.45727812000912615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0.1671357391540017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0.011352009744214372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0.1819189828503844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0.1539183188442054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0.005519416518825153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0.05477796797905548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13.571691176470589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617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75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130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822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5758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14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10830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16602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3130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3130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3130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14654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14654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35640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10967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804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166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11957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259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99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12327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47967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8236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2122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987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35188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184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614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40584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311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155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5765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3070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1207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389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473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6020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888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9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6917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150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3146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320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4167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728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1181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874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9692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9734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197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9734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197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119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-106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184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184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9931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8000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8017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956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956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940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18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958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9931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9931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9931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9676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-4521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-4303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-807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-68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-672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-1404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259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1088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929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200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-211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-218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-86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-10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10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8236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8236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896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896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91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91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987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987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1092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1092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184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-91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-91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1185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1185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40410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40410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184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40584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40584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4133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98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988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683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5902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5673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10530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16950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26334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542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558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98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12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686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796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1354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6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237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247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3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98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101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348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4671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98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998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6213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5768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759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11118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17645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27340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10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10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244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244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244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254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4671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98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998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6213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5758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759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11118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17635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3130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3130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3130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27086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3977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98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893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224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5192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740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181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921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6113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80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36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92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208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5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107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112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320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6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9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9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4054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98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923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316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5391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745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288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1033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6424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4054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98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923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316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5391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745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288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1033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6424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617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75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130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822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5758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14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10830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16602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3130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3130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3130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20662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14654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6610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8044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14654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10967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2342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8067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804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166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11957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26935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10967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2342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8067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804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166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11957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11957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14654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6610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8044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14654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14978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311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311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311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155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3070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3070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2695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1207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473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102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251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389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6020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6486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3070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3070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2695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1207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515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473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102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251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389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6020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6020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311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311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311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155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466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3130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3130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3130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3130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617</v>
      </c>
      <c r="D14" s="197">
        <v>156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75</v>
      </c>
      <c r="D17" s="197">
        <v>95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130</v>
      </c>
      <c r="D19" s="197">
        <f>222+237</f>
        <v>459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822</v>
      </c>
      <c r="D20" s="598">
        <f>SUM(D12:D19)</f>
        <v>710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7">
        <v>108</v>
      </c>
      <c r="E21" s="89" t="s">
        <v>58</v>
      </c>
      <c r="F21" s="93" t="s">
        <v>59</v>
      </c>
      <c r="G21" s="197">
        <v>8236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2122</v>
      </c>
      <c r="H22" s="614">
        <f>SUM(H23:H25)</f>
        <v>2031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987</v>
      </c>
      <c r="H23" s="197">
        <v>896</v>
      </c>
    </row>
    <row r="24" spans="1:13" ht="15.75">
      <c r="A24" s="89" t="s">
        <v>67</v>
      </c>
      <c r="B24" s="91" t="s">
        <v>68</v>
      </c>
      <c r="C24" s="197">
        <v>5758</v>
      </c>
      <c r="D24" s="197">
        <v>5673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14</v>
      </c>
      <c r="D25" s="197">
        <v>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35188</v>
      </c>
      <c r="H26" s="598">
        <f>H20+H21+H22</f>
        <v>35107</v>
      </c>
      <c r="M26" s="98"/>
    </row>
    <row r="27" spans="1:8" ht="15.75">
      <c r="A27" s="89" t="s">
        <v>79</v>
      </c>
      <c r="B27" s="91" t="s">
        <v>80</v>
      </c>
      <c r="C27" s="197">
        <f>3979+6838+13</f>
        <v>10830</v>
      </c>
      <c r="D27" s="197">
        <v>10349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16602</v>
      </c>
      <c r="D28" s="598">
        <f>SUM(D24:D27)</f>
        <v>16029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184</v>
      </c>
      <c r="H32" s="197">
        <v>91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614</v>
      </c>
      <c r="H34" s="598">
        <f>H28+H32+H33</f>
        <v>521</v>
      </c>
    </row>
    <row r="35" spans="1:8" ht="15.75">
      <c r="A35" s="89" t="s">
        <v>106</v>
      </c>
      <c r="B35" s="94" t="s">
        <v>107</v>
      </c>
      <c r="C35" s="595">
        <f>SUM(C36:C39)</f>
        <v>3130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3130</v>
      </c>
      <c r="D36" s="196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40584</v>
      </c>
      <c r="H37" s="600">
        <f>H26+H18+H34</f>
        <v>40410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3130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14654</v>
      </c>
      <c r="D48" s="196">
        <v>13023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14654</v>
      </c>
      <c r="D52" s="598">
        <f>SUM(D48:D51)</f>
        <v>13023</v>
      </c>
      <c r="E52" s="201" t="s">
        <v>158</v>
      </c>
      <c r="F52" s="95" t="s">
        <v>159</v>
      </c>
      <c r="G52" s="197">
        <v>311</v>
      </c>
      <c r="H52" s="197">
        <v>136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155</v>
      </c>
      <c r="H54" s="197">
        <v>160</v>
      </c>
    </row>
    <row r="55" spans="1:8" ht="15.75">
      <c r="A55" s="100" t="s">
        <v>166</v>
      </c>
      <c r="B55" s="96" t="s">
        <v>167</v>
      </c>
      <c r="C55" s="478">
        <v>324</v>
      </c>
      <c r="D55" s="479">
        <v>223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35640</v>
      </c>
      <c r="D56" s="602">
        <f>D20+D21+D22+D28+D33+D46+D52+D54+D55</f>
        <v>33467</v>
      </c>
      <c r="E56" s="100" t="s">
        <v>850</v>
      </c>
      <c r="F56" s="99" t="s">
        <v>172</v>
      </c>
      <c r="G56" s="599">
        <f>G50+G52+G53+G54+G55</f>
        <v>466</v>
      </c>
      <c r="H56" s="600">
        <f>H50+H52+H53+H54+H55</f>
        <v>296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5765</v>
      </c>
      <c r="H61" s="596">
        <f>SUM(H62:H68)</f>
        <v>4784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3070</v>
      </c>
      <c r="H62" s="197">
        <v>3009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1207</v>
      </c>
      <c r="H64" s="197">
        <v>769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111</v>
      </c>
      <c r="H65" s="197">
        <v>88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904-389</f>
        <v>515</v>
      </c>
      <c r="H66" s="197">
        <f>314+219+7</f>
        <v>540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389</v>
      </c>
      <c r="H67" s="197">
        <v>162</v>
      </c>
    </row>
    <row r="68" spans="1:8" ht="15.75">
      <c r="A68" s="89" t="s">
        <v>206</v>
      </c>
      <c r="B68" s="91" t="s">
        <v>207</v>
      </c>
      <c r="C68" s="197">
        <v>10967</v>
      </c>
      <c r="D68" s="197">
        <v>10567</v>
      </c>
      <c r="E68" s="89" t="s">
        <v>212</v>
      </c>
      <c r="F68" s="93" t="s">
        <v>213</v>
      </c>
      <c r="G68" s="197">
        <f>371+102</f>
        <v>473</v>
      </c>
      <c r="H68" s="197">
        <f>130+86</f>
        <v>216</v>
      </c>
    </row>
    <row r="69" spans="1:8" ht="15.75">
      <c r="A69" s="89" t="s">
        <v>210</v>
      </c>
      <c r="B69" s="91" t="s">
        <v>211</v>
      </c>
      <c r="C69" s="197">
        <v>804</v>
      </c>
      <c r="D69" s="197">
        <v>1853</v>
      </c>
      <c r="E69" s="201" t="s">
        <v>79</v>
      </c>
      <c r="F69" s="93" t="s">
        <v>216</v>
      </c>
      <c r="G69" s="197">
        <v>255</v>
      </c>
      <c r="H69" s="197">
        <v>195</v>
      </c>
    </row>
    <row r="70" spans="1:8" ht="15.75">
      <c r="A70" s="89" t="s">
        <v>214</v>
      </c>
      <c r="B70" s="91" t="s">
        <v>215</v>
      </c>
      <c r="C70" s="197">
        <v>166</v>
      </c>
      <c r="D70" s="197">
        <v>65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6020</v>
      </c>
      <c r="H71" s="598">
        <f>H59+H60+H61+H69+H70</f>
        <v>4979</v>
      </c>
    </row>
    <row r="72" spans="1:8" ht="15.75">
      <c r="A72" s="89" t="s">
        <v>221</v>
      </c>
      <c r="B72" s="91" t="s">
        <v>222</v>
      </c>
      <c r="C72" s="197">
        <v>6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6+8</f>
        <v>14</v>
      </c>
      <c r="D75" s="197">
        <f>137+2+212+5</f>
        <v>356</v>
      </c>
      <c r="E75" s="485" t="s">
        <v>160</v>
      </c>
      <c r="F75" s="95" t="s">
        <v>233</v>
      </c>
      <c r="G75" s="478">
        <v>888</v>
      </c>
      <c r="H75" s="479">
        <v>1134</v>
      </c>
    </row>
    <row r="76" spans="1:8" ht="15.75">
      <c r="A76" s="482" t="s">
        <v>77</v>
      </c>
      <c r="B76" s="96" t="s">
        <v>232</v>
      </c>
      <c r="C76" s="597">
        <f>SUM(C68:C75)</f>
        <v>11957</v>
      </c>
      <c r="D76" s="598">
        <f>SUM(D68:D75)</f>
        <v>12869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9</v>
      </c>
      <c r="H77" s="479">
        <v>12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6917</v>
      </c>
      <c r="H79" s="600">
        <f>H71+H73+H75+H77</f>
        <v>6125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271-12</f>
        <v>259</v>
      </c>
      <c r="D89" s="197">
        <v>354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271</v>
      </c>
      <c r="D92" s="598">
        <f>SUM(D88:D91)</f>
        <v>357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99</v>
      </c>
      <c r="D93" s="479">
        <v>138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12327</v>
      </c>
      <c r="D94" s="602">
        <f>D65+D76+D85+D92+D93</f>
        <v>13364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47967</v>
      </c>
      <c r="D95" s="604">
        <f>D94+D56</f>
        <v>46831</v>
      </c>
      <c r="E95" s="229" t="s">
        <v>941</v>
      </c>
      <c r="F95" s="489" t="s">
        <v>268</v>
      </c>
      <c r="G95" s="603">
        <f>G37+G40+G56+G79</f>
        <v>47967</v>
      </c>
      <c r="H95" s="604">
        <f>H37+H40+H56+H79</f>
        <v>46831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7">
        <f>pdeReportingDate</f>
        <v>45012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Валентина Димитрова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977</v>
      </c>
      <c r="C103" s="706"/>
      <c r="D103" s="706"/>
      <c r="E103" s="706"/>
      <c r="M103" s="98"/>
    </row>
    <row r="104" spans="1:5" ht="21.75" customHeight="1">
      <c r="A104" s="695"/>
      <c r="B104" s="706" t="s">
        <v>977</v>
      </c>
      <c r="C104" s="706"/>
      <c r="D104" s="706"/>
      <c r="E104" s="706"/>
    </row>
    <row r="105" spans="1:13" ht="21.75" customHeight="1">
      <c r="A105" s="695"/>
      <c r="B105" s="706" t="s">
        <v>977</v>
      </c>
      <c r="C105" s="706"/>
      <c r="D105" s="706"/>
      <c r="E105" s="706"/>
      <c r="M105" s="98"/>
    </row>
    <row r="106" spans="1:5" ht="21.75" customHeight="1">
      <c r="A106" s="695"/>
      <c r="B106" s="706" t="s">
        <v>977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2" sqref="G22: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150</v>
      </c>
      <c r="D12" s="316">
        <v>93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3146</v>
      </c>
      <c r="D13" s="316">
        <v>2848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320</v>
      </c>
      <c r="D14" s="316">
        <v>346</v>
      </c>
      <c r="E14" s="245" t="s">
        <v>285</v>
      </c>
      <c r="F14" s="240" t="s">
        <v>286</v>
      </c>
      <c r="G14" s="316">
        <v>8000</v>
      </c>
      <c r="H14" s="316">
        <v>8297</v>
      </c>
    </row>
    <row r="15" spans="1:8" ht="15.75">
      <c r="A15" s="194" t="s">
        <v>287</v>
      </c>
      <c r="B15" s="190" t="s">
        <v>288</v>
      </c>
      <c r="C15" s="316">
        <v>4167</v>
      </c>
      <c r="D15" s="316">
        <f>4171+31</f>
        <v>4202</v>
      </c>
      <c r="E15" s="245" t="s">
        <v>79</v>
      </c>
      <c r="F15" s="240" t="s">
        <v>289</v>
      </c>
      <c r="G15" s="316">
        <v>17</v>
      </c>
      <c r="H15" s="316">
        <f>17+14+57</f>
        <v>88</v>
      </c>
    </row>
    <row r="16" spans="1:8" ht="15.75">
      <c r="A16" s="194" t="s">
        <v>290</v>
      </c>
      <c r="B16" s="190" t="s">
        <v>291</v>
      </c>
      <c r="C16" s="316">
        <v>728</v>
      </c>
      <c r="D16" s="316">
        <v>702</v>
      </c>
      <c r="E16" s="236" t="s">
        <v>52</v>
      </c>
      <c r="F16" s="264" t="s">
        <v>292</v>
      </c>
      <c r="G16" s="628">
        <f>SUM(G12:G15)</f>
        <v>8017</v>
      </c>
      <c r="H16" s="629">
        <f>SUM(H12:H15)</f>
        <v>8385</v>
      </c>
    </row>
    <row r="17" spans="1:8" ht="31.5">
      <c r="A17" s="194" t="s">
        <v>293</v>
      </c>
      <c r="B17" s="190" t="s">
        <v>294</v>
      </c>
      <c r="C17" s="316"/>
      <c r="D17" s="316">
        <v>15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956</v>
      </c>
      <c r="H18" s="640">
        <v>1685</v>
      </c>
    </row>
    <row r="19" spans="1:8" ht="15.75">
      <c r="A19" s="194" t="s">
        <v>299</v>
      </c>
      <c r="B19" s="190" t="s">
        <v>300</v>
      </c>
      <c r="C19" s="316">
        <v>1181</v>
      </c>
      <c r="D19" s="316">
        <f>901+1743</f>
        <v>2644</v>
      </c>
      <c r="E19" s="194" t="s">
        <v>301</v>
      </c>
      <c r="F19" s="237" t="s">
        <v>302</v>
      </c>
      <c r="G19" s="316">
        <v>956</v>
      </c>
      <c r="H19" s="317">
        <v>1682</v>
      </c>
    </row>
    <row r="20" spans="1:8" ht="15.75">
      <c r="A20" s="235" t="s">
        <v>303</v>
      </c>
      <c r="B20" s="190" t="s">
        <v>304</v>
      </c>
      <c r="C20" s="316">
        <v>874</v>
      </c>
      <c r="D20" s="316">
        <v>738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9692</v>
      </c>
      <c r="D22" s="629">
        <f>SUM(D12:D18)+D19</f>
        <v>10850</v>
      </c>
      <c r="E22" s="194" t="s">
        <v>309</v>
      </c>
      <c r="F22" s="237" t="s">
        <v>310</v>
      </c>
      <c r="G22" s="316">
        <v>940</v>
      </c>
      <c r="H22" s="316">
        <v>907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27</v>
      </c>
      <c r="D25" s="316">
        <f>8+4</f>
        <v>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18</v>
      </c>
      <c r="H26" s="317">
        <v>40</v>
      </c>
    </row>
    <row r="27" spans="1:8" ht="31.5">
      <c r="A27" s="194" t="s">
        <v>324</v>
      </c>
      <c r="B27" s="237" t="s">
        <v>325</v>
      </c>
      <c r="C27" s="316">
        <v>7</v>
      </c>
      <c r="D27" s="316">
        <v>2</v>
      </c>
      <c r="E27" s="236" t="s">
        <v>104</v>
      </c>
      <c r="F27" s="238" t="s">
        <v>326</v>
      </c>
      <c r="G27" s="628">
        <f>SUM(G22:G26)</f>
        <v>958</v>
      </c>
      <c r="H27" s="629">
        <f>SUM(H22:H26)</f>
        <v>947</v>
      </c>
    </row>
    <row r="28" spans="1:8" ht="15.75">
      <c r="A28" s="194" t="s">
        <v>79</v>
      </c>
      <c r="B28" s="237" t="s">
        <v>327</v>
      </c>
      <c r="C28" s="316">
        <v>8</v>
      </c>
      <c r="D28" s="316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9734</v>
      </c>
      <c r="D31" s="635">
        <f>D29+D22</f>
        <v>10873</v>
      </c>
      <c r="E31" s="251" t="s">
        <v>824</v>
      </c>
      <c r="F31" s="266" t="s">
        <v>331</v>
      </c>
      <c r="G31" s="253">
        <f>G16+G18+G27</f>
        <v>9931</v>
      </c>
      <c r="H31" s="254">
        <f>H16+H18+H27</f>
        <v>11017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197</v>
      </c>
      <c r="D33" s="244">
        <f>IF((H31-D31)&gt;0,H31-D31,0)</f>
        <v>144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9734</v>
      </c>
      <c r="D36" s="637">
        <f>D31-D34+D35</f>
        <v>10873</v>
      </c>
      <c r="E36" s="262" t="s">
        <v>346</v>
      </c>
      <c r="F36" s="256" t="s">
        <v>347</v>
      </c>
      <c r="G36" s="267">
        <f>G35-G34+G31</f>
        <v>9931</v>
      </c>
      <c r="H36" s="268">
        <f>H35-H34+H31</f>
        <v>11017</v>
      </c>
    </row>
    <row r="37" spans="1:8" ht="15.75">
      <c r="A37" s="261" t="s">
        <v>348</v>
      </c>
      <c r="B37" s="231" t="s">
        <v>349</v>
      </c>
      <c r="C37" s="634">
        <f>IF((G36-C36)&gt;0,G36-C36,0)</f>
        <v>197</v>
      </c>
      <c r="D37" s="635">
        <f>IF((H36-D36)&gt;0,H36-D36,0)</f>
        <v>144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</v>
      </c>
      <c r="D38" s="629">
        <f>D39+D40+D41</f>
        <v>53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119</v>
      </c>
      <c r="D39" s="316">
        <v>105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-106</v>
      </c>
      <c r="D40" s="316">
        <v>-52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184</v>
      </c>
      <c r="D42" s="244">
        <f>+IF((H36-D36-D38)&gt;0,H36-D36-D38,0)</f>
        <v>91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184</v>
      </c>
      <c r="D44" s="268">
        <f>IF(H42=0,IF(D42-D43&gt;0,D42-D43+H43,0),IF(H42-H43&lt;0,H43-H42+D42,0))</f>
        <v>91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9931</v>
      </c>
      <c r="D45" s="631">
        <f>D36+D38+D42</f>
        <v>11017</v>
      </c>
      <c r="E45" s="270" t="s">
        <v>373</v>
      </c>
      <c r="F45" s="272" t="s">
        <v>374</v>
      </c>
      <c r="G45" s="630">
        <f>G42+G36</f>
        <v>9931</v>
      </c>
      <c r="H45" s="631">
        <f>H42+H36</f>
        <v>11017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976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7">
        <f>pdeReportingDate</f>
        <v>45012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Валентина Димитрова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977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977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977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977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9676</v>
      </c>
      <c r="D11" s="197">
        <v>9039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-4521</v>
      </c>
      <c r="D12" s="197">
        <v>-4208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-4303</v>
      </c>
      <c r="D14" s="197">
        <v>-4315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-807</v>
      </c>
      <c r="D15" s="197">
        <v>-1348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-102</v>
      </c>
      <c r="D16" s="197">
        <v>-19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7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-68</v>
      </c>
      <c r="D21" s="659">
        <f>SUM(D11:D20)</f>
        <v>-874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-41-631</f>
        <v>-672</v>
      </c>
      <c r="D23" s="197">
        <f>-275-591</f>
        <v>-866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-1404</v>
      </c>
      <c r="D25" s="197">
        <v>-1553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259</v>
      </c>
      <c r="D26" s="197">
        <v>775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1088</v>
      </c>
      <c r="D29" s="197">
        <v>1000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929</v>
      </c>
      <c r="D32" s="197">
        <v>1921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200</v>
      </c>
      <c r="D33" s="659">
        <f>SUM(D23:D32)</f>
        <v>1279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-147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7">
        <v>-19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-211</v>
      </c>
      <c r="D42" s="197">
        <v>-79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-218</v>
      </c>
      <c r="D43" s="661">
        <f>SUM(D35:D42)</f>
        <v>-245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-86</v>
      </c>
      <c r="D44" s="307">
        <f>D43+D33+D21</f>
        <v>160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357</v>
      </c>
      <c r="D45" s="309">
        <v>197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271</v>
      </c>
      <c r="D46" s="311">
        <f>D45+D44</f>
        <v>357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271</v>
      </c>
      <c r="D47" s="298">
        <v>357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1" t="s">
        <v>972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7">
        <f>pdeReportingDate</f>
        <v>45012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Валентина Димитрова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977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977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977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977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896</v>
      </c>
      <c r="G13" s="584">
        <f>'1-Баланс'!H24</f>
        <v>0</v>
      </c>
      <c r="H13" s="585">
        <v>1135</v>
      </c>
      <c r="I13" s="584">
        <f>'1-Баланс'!H29+'1-Баланс'!H32</f>
        <v>1092</v>
      </c>
      <c r="J13" s="584">
        <f>'1-Баланс'!H30+'1-Баланс'!H33</f>
        <v>-571</v>
      </c>
      <c r="K13" s="585"/>
      <c r="L13" s="584">
        <f>SUM(C13:K13)</f>
        <v>40410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8246</v>
      </c>
      <c r="F17" s="653">
        <f t="shared" si="2"/>
        <v>896</v>
      </c>
      <c r="G17" s="653">
        <f t="shared" si="2"/>
        <v>0</v>
      </c>
      <c r="H17" s="653">
        <f t="shared" si="2"/>
        <v>1135</v>
      </c>
      <c r="I17" s="653">
        <f t="shared" si="2"/>
        <v>1092</v>
      </c>
      <c r="J17" s="653">
        <f t="shared" si="2"/>
        <v>-571</v>
      </c>
      <c r="K17" s="653">
        <f t="shared" si="2"/>
        <v>0</v>
      </c>
      <c r="L17" s="584">
        <f t="shared" si="1"/>
        <v>40410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184</v>
      </c>
      <c r="J18" s="584">
        <f>+'1-Баланс'!G33</f>
        <v>0</v>
      </c>
      <c r="K18" s="585"/>
      <c r="L18" s="584">
        <f t="shared" si="1"/>
        <v>184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91</v>
      </c>
      <c r="G19" s="168">
        <f t="shared" si="3"/>
        <v>0</v>
      </c>
      <c r="H19" s="168">
        <f t="shared" si="3"/>
        <v>0</v>
      </c>
      <c r="I19" s="168">
        <f t="shared" si="3"/>
        <v>-91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91</v>
      </c>
      <c r="G21" s="316"/>
      <c r="H21" s="316"/>
      <c r="I21" s="316">
        <v>-91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-10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10</v>
      </c>
      <c r="F25" s="316"/>
      <c r="G25" s="316"/>
      <c r="H25" s="316"/>
      <c r="I25" s="316"/>
      <c r="J25" s="316"/>
      <c r="K25" s="316"/>
      <c r="L25" s="584">
        <f t="shared" si="1"/>
        <v>10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8236</v>
      </c>
      <c r="F31" s="653">
        <f t="shared" si="6"/>
        <v>987</v>
      </c>
      <c r="G31" s="653">
        <f t="shared" si="6"/>
        <v>0</v>
      </c>
      <c r="H31" s="653">
        <f t="shared" si="6"/>
        <v>1135</v>
      </c>
      <c r="I31" s="653">
        <f t="shared" si="6"/>
        <v>1185</v>
      </c>
      <c r="J31" s="653">
        <f t="shared" si="6"/>
        <v>-571</v>
      </c>
      <c r="K31" s="653">
        <f t="shared" si="6"/>
        <v>0</v>
      </c>
      <c r="L31" s="584">
        <f t="shared" si="1"/>
        <v>40584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8236</v>
      </c>
      <c r="F34" s="587">
        <f t="shared" si="7"/>
        <v>987</v>
      </c>
      <c r="G34" s="587">
        <f t="shared" si="7"/>
        <v>0</v>
      </c>
      <c r="H34" s="587">
        <f t="shared" si="7"/>
        <v>1135</v>
      </c>
      <c r="I34" s="587">
        <f t="shared" si="7"/>
        <v>1185</v>
      </c>
      <c r="J34" s="587">
        <f t="shared" si="7"/>
        <v>-571</v>
      </c>
      <c r="K34" s="587">
        <f t="shared" si="7"/>
        <v>0</v>
      </c>
      <c r="L34" s="651">
        <f t="shared" si="1"/>
        <v>40584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7">
        <f>pdeReportingDate</f>
        <v>45012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Валентина Димитрова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977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977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977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977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47" t="s">
        <v>1000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747" t="s">
        <v>1001</v>
      </c>
      <c r="B13" s="679"/>
      <c r="C13" s="92">
        <v>220</v>
      </c>
      <c r="D13" s="92">
        <v>100</v>
      </c>
      <c r="E13" s="92"/>
      <c r="F13" s="469">
        <f aca="true" t="shared" si="0" ref="F13:F26">C13-E13</f>
        <v>220</v>
      </c>
    </row>
    <row r="14" spans="1:6" ht="15.75">
      <c r="A14" s="747" t="s">
        <v>1002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747" t="s">
        <v>1003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747" t="s">
        <v>1004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747" t="s">
        <v>1005</v>
      </c>
      <c r="B17" s="679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3130</v>
      </c>
      <c r="D27" s="472"/>
      <c r="E27" s="472">
        <f>SUM(E12:E26)</f>
        <v>0</v>
      </c>
      <c r="F27" s="472">
        <f>SUM(F12:F26)</f>
        <v>3130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3130</v>
      </c>
      <c r="D79" s="472"/>
      <c r="E79" s="472">
        <f>E78+E61+E44+E27</f>
        <v>0</v>
      </c>
      <c r="F79" s="472">
        <f>F78+F61+F44+F27</f>
        <v>3130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7">
        <f>pdeReportingDate</f>
        <v>45012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Валентина Димитрова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977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977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977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977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05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>
        <v>0</v>
      </c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4133</v>
      </c>
      <c r="E13" s="328">
        <v>542</v>
      </c>
      <c r="F13" s="328">
        <v>4</v>
      </c>
      <c r="G13" s="329">
        <f t="shared" si="2"/>
        <v>4671</v>
      </c>
      <c r="H13" s="328"/>
      <c r="I13" s="328"/>
      <c r="J13" s="329">
        <f t="shared" si="3"/>
        <v>4671</v>
      </c>
      <c r="K13" s="328">
        <v>3977</v>
      </c>
      <c r="L13" s="328">
        <v>80</v>
      </c>
      <c r="M13" s="328">
        <v>3</v>
      </c>
      <c r="N13" s="329">
        <f t="shared" si="4"/>
        <v>4054</v>
      </c>
      <c r="O13" s="328"/>
      <c r="P13" s="328"/>
      <c r="Q13" s="329">
        <f t="shared" si="0"/>
        <v>4054</v>
      </c>
      <c r="R13" s="340">
        <f t="shared" si="1"/>
        <v>617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98</v>
      </c>
      <c r="E15" s="328"/>
      <c r="F15" s="328"/>
      <c r="G15" s="329">
        <f t="shared" si="2"/>
        <v>98</v>
      </c>
      <c r="H15" s="328"/>
      <c r="I15" s="328"/>
      <c r="J15" s="329">
        <f t="shared" si="3"/>
        <v>98</v>
      </c>
      <c r="K15" s="328">
        <v>98</v>
      </c>
      <c r="L15" s="328"/>
      <c r="M15" s="328"/>
      <c r="N15" s="329">
        <f t="shared" si="4"/>
        <v>98</v>
      </c>
      <c r="O15" s="328"/>
      <c r="P15" s="328"/>
      <c r="Q15" s="329">
        <f t="shared" si="0"/>
        <v>98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988</v>
      </c>
      <c r="E16" s="328">
        <v>16</v>
      </c>
      <c r="F16" s="328">
        <v>6</v>
      </c>
      <c r="G16" s="329">
        <f t="shared" si="2"/>
        <v>998</v>
      </c>
      <c r="H16" s="328"/>
      <c r="I16" s="328"/>
      <c r="J16" s="329">
        <f t="shared" si="3"/>
        <v>998</v>
      </c>
      <c r="K16" s="328">
        <v>893</v>
      </c>
      <c r="L16" s="328">
        <v>36</v>
      </c>
      <c r="M16" s="328">
        <v>6</v>
      </c>
      <c r="N16" s="329">
        <f t="shared" si="4"/>
        <v>923</v>
      </c>
      <c r="O16" s="328"/>
      <c r="P16" s="328"/>
      <c r="Q16" s="329">
        <f t="shared" si="0"/>
        <v>923</v>
      </c>
      <c r="R16" s="340">
        <f t="shared" si="1"/>
        <v>75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683</v>
      </c>
      <c r="E18" s="328"/>
      <c r="F18" s="328">
        <v>237</v>
      </c>
      <c r="G18" s="329">
        <f t="shared" si="2"/>
        <v>446</v>
      </c>
      <c r="H18" s="328"/>
      <c r="I18" s="328"/>
      <c r="J18" s="329">
        <f t="shared" si="3"/>
        <v>446</v>
      </c>
      <c r="K18" s="328">
        <v>224</v>
      </c>
      <c r="L18" s="328">
        <v>92</v>
      </c>
      <c r="M18" s="328"/>
      <c r="N18" s="329">
        <f t="shared" si="4"/>
        <v>316</v>
      </c>
      <c r="O18" s="328"/>
      <c r="P18" s="328"/>
      <c r="Q18" s="329">
        <f t="shared" si="0"/>
        <v>316</v>
      </c>
      <c r="R18" s="340">
        <f t="shared" si="1"/>
        <v>130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5902</v>
      </c>
      <c r="E19" s="330">
        <f>SUM(E11:E18)</f>
        <v>558</v>
      </c>
      <c r="F19" s="330">
        <f>SUM(F11:F18)</f>
        <v>247</v>
      </c>
      <c r="G19" s="329">
        <f t="shared" si="2"/>
        <v>6213</v>
      </c>
      <c r="H19" s="330">
        <f>SUM(H11:H18)</f>
        <v>0</v>
      </c>
      <c r="I19" s="330">
        <f>SUM(I11:I18)</f>
        <v>0</v>
      </c>
      <c r="J19" s="329">
        <f t="shared" si="3"/>
        <v>6213</v>
      </c>
      <c r="K19" s="330">
        <f>SUM(K11:K18)</f>
        <v>5192</v>
      </c>
      <c r="L19" s="330">
        <f>SUM(L11:L18)</f>
        <v>208</v>
      </c>
      <c r="M19" s="330">
        <f>SUM(M11:M18)</f>
        <v>9</v>
      </c>
      <c r="N19" s="329">
        <f t="shared" si="4"/>
        <v>5391</v>
      </c>
      <c r="O19" s="330">
        <f>SUM(O11:O18)</f>
        <v>0</v>
      </c>
      <c r="P19" s="330">
        <f>SUM(P11:P18)</f>
        <v>0</v>
      </c>
      <c r="Q19" s="329">
        <f t="shared" si="0"/>
        <v>5391</v>
      </c>
      <c r="R19" s="340">
        <f t="shared" si="1"/>
        <v>822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5673</v>
      </c>
      <c r="E24" s="328">
        <v>98</v>
      </c>
      <c r="F24" s="328">
        <v>3</v>
      </c>
      <c r="G24" s="329">
        <f t="shared" si="2"/>
        <v>5768</v>
      </c>
      <c r="H24" s="328"/>
      <c r="I24" s="328">
        <v>10</v>
      </c>
      <c r="J24" s="329">
        <f t="shared" si="3"/>
        <v>5758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5758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747</v>
      </c>
      <c r="E25" s="328">
        <v>12</v>
      </c>
      <c r="F25" s="328"/>
      <c r="G25" s="329">
        <f t="shared" si="2"/>
        <v>759</v>
      </c>
      <c r="H25" s="328"/>
      <c r="I25" s="328"/>
      <c r="J25" s="329">
        <f t="shared" si="3"/>
        <v>759</v>
      </c>
      <c r="K25" s="328">
        <v>740</v>
      </c>
      <c r="L25" s="328">
        <v>5</v>
      </c>
      <c r="M25" s="328"/>
      <c r="N25" s="329">
        <f t="shared" si="4"/>
        <v>745</v>
      </c>
      <c r="O25" s="328"/>
      <c r="P25" s="328"/>
      <c r="Q25" s="329">
        <f t="shared" si="0"/>
        <v>745</v>
      </c>
      <c r="R25" s="340">
        <f t="shared" si="1"/>
        <v>14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10530</v>
      </c>
      <c r="E27" s="328">
        <f>659+27</f>
        <v>686</v>
      </c>
      <c r="F27" s="328">
        <v>98</v>
      </c>
      <c r="G27" s="329">
        <f t="shared" si="2"/>
        <v>11118</v>
      </c>
      <c r="H27" s="328"/>
      <c r="I27" s="328"/>
      <c r="J27" s="329">
        <f t="shared" si="3"/>
        <v>11118</v>
      </c>
      <c r="K27" s="328">
        <v>181</v>
      </c>
      <c r="L27" s="328">
        <v>107</v>
      </c>
      <c r="M27" s="328"/>
      <c r="N27" s="329">
        <f t="shared" si="4"/>
        <v>288</v>
      </c>
      <c r="O27" s="328"/>
      <c r="P27" s="328"/>
      <c r="Q27" s="329">
        <f t="shared" si="0"/>
        <v>288</v>
      </c>
      <c r="R27" s="340">
        <f t="shared" si="1"/>
        <v>10830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16950</v>
      </c>
      <c r="E28" s="332">
        <f aca="true" t="shared" si="5" ref="E28:P28">SUM(E24:E27)</f>
        <v>796</v>
      </c>
      <c r="F28" s="332">
        <f t="shared" si="5"/>
        <v>101</v>
      </c>
      <c r="G28" s="333">
        <f t="shared" si="2"/>
        <v>17645</v>
      </c>
      <c r="H28" s="332">
        <f t="shared" si="5"/>
        <v>0</v>
      </c>
      <c r="I28" s="332">
        <f t="shared" si="5"/>
        <v>10</v>
      </c>
      <c r="J28" s="333">
        <f t="shared" si="3"/>
        <v>17635</v>
      </c>
      <c r="K28" s="332">
        <f t="shared" si="5"/>
        <v>921</v>
      </c>
      <c r="L28" s="332">
        <f t="shared" si="5"/>
        <v>112</v>
      </c>
      <c r="M28" s="332">
        <f t="shared" si="5"/>
        <v>0</v>
      </c>
      <c r="N28" s="333">
        <f t="shared" si="4"/>
        <v>1033</v>
      </c>
      <c r="O28" s="332">
        <f t="shared" si="5"/>
        <v>0</v>
      </c>
      <c r="P28" s="332">
        <f t="shared" si="5"/>
        <v>0</v>
      </c>
      <c r="Q28" s="333">
        <f t="shared" si="0"/>
        <v>1033</v>
      </c>
      <c r="R28" s="343">
        <f t="shared" si="1"/>
        <v>16602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3374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3374</v>
      </c>
      <c r="H30" s="335">
        <f t="shared" si="6"/>
        <v>0</v>
      </c>
      <c r="I30" s="335">
        <f t="shared" si="6"/>
        <v>244</v>
      </c>
      <c r="J30" s="336">
        <f t="shared" si="3"/>
        <v>3130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3130</v>
      </c>
    </row>
    <row r="31" spans="1:18" ht="15.75">
      <c r="A31" s="339"/>
      <c r="B31" s="321" t="s">
        <v>108</v>
      </c>
      <c r="C31" s="152" t="s">
        <v>563</v>
      </c>
      <c r="D31" s="328">
        <v>3374</v>
      </c>
      <c r="E31" s="328"/>
      <c r="F31" s="328"/>
      <c r="G31" s="329">
        <f t="shared" si="2"/>
        <v>3374</v>
      </c>
      <c r="H31" s="328"/>
      <c r="I31" s="328">
        <v>244</v>
      </c>
      <c r="J31" s="329">
        <f t="shared" si="3"/>
        <v>3130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3130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3374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3374</v>
      </c>
      <c r="H41" s="330">
        <f t="shared" si="10"/>
        <v>0</v>
      </c>
      <c r="I41" s="330">
        <f t="shared" si="10"/>
        <v>244</v>
      </c>
      <c r="J41" s="329">
        <f t="shared" si="3"/>
        <v>3130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3130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26334</v>
      </c>
      <c r="E43" s="349">
        <f>E19+E20+E22+E28+E41+E42</f>
        <v>1354</v>
      </c>
      <c r="F43" s="349">
        <f aca="true" t="shared" si="11" ref="F43:R43">F19+F20+F22+F28+F41+F42</f>
        <v>348</v>
      </c>
      <c r="G43" s="349">
        <f t="shared" si="11"/>
        <v>27340</v>
      </c>
      <c r="H43" s="349">
        <f t="shared" si="11"/>
        <v>0</v>
      </c>
      <c r="I43" s="349">
        <f t="shared" si="11"/>
        <v>254</v>
      </c>
      <c r="J43" s="349">
        <f t="shared" si="11"/>
        <v>27086</v>
      </c>
      <c r="K43" s="349">
        <f t="shared" si="11"/>
        <v>6113</v>
      </c>
      <c r="L43" s="349">
        <f t="shared" si="11"/>
        <v>320</v>
      </c>
      <c r="M43" s="349">
        <f t="shared" si="11"/>
        <v>9</v>
      </c>
      <c r="N43" s="349">
        <f t="shared" si="11"/>
        <v>6424</v>
      </c>
      <c r="O43" s="349">
        <f t="shared" si="11"/>
        <v>0</v>
      </c>
      <c r="P43" s="349">
        <f t="shared" si="11"/>
        <v>0</v>
      </c>
      <c r="Q43" s="349">
        <f t="shared" si="11"/>
        <v>6424</v>
      </c>
      <c r="R43" s="350">
        <f t="shared" si="11"/>
        <v>20662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7">
        <f>pdeReportingDate</f>
        <v>45012</v>
      </c>
      <c r="D46" s="707"/>
      <c r="E46" s="707"/>
      <c r="F46" s="707"/>
      <c r="G46" s="707"/>
      <c r="H46" s="707"/>
      <c r="I46" s="707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Валентина Димитрова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695"/>
      <c r="C51" s="706" t="s">
        <v>977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977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977</v>
      </c>
      <c r="D53" s="706"/>
      <c r="E53" s="706"/>
      <c r="F53" s="706"/>
      <c r="G53" s="574"/>
      <c r="H53" s="45"/>
      <c r="I53" s="42"/>
    </row>
    <row r="54" spans="2:9" ht="15.75">
      <c r="B54" s="695"/>
      <c r="C54" s="706" t="s">
        <v>977</v>
      </c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74" sqref="E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14654</v>
      </c>
      <c r="D13" s="362">
        <f>SUM(D14:D16)</f>
        <v>0</v>
      </c>
      <c r="E13" s="369">
        <f>SUM(E14:E16)</f>
        <v>14654</v>
      </c>
      <c r="F13" s="133"/>
    </row>
    <row r="14" spans="1:6" ht="15.75">
      <c r="A14" s="370" t="s">
        <v>596</v>
      </c>
      <c r="B14" s="135" t="s">
        <v>597</v>
      </c>
      <c r="C14" s="368">
        <v>6610</v>
      </c>
      <c r="D14" s="368"/>
      <c r="E14" s="369">
        <f aca="true" t="shared" si="0" ref="E14:E44">C14-D14</f>
        <v>6610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14654-6610</f>
        <v>8044</v>
      </c>
      <c r="D16" s="368"/>
      <c r="E16" s="369">
        <f t="shared" si="0"/>
        <v>8044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14654</v>
      </c>
      <c r="D21" s="440">
        <f>D13+D17+D18</f>
        <v>0</v>
      </c>
      <c r="E21" s="441">
        <f>E13+E17+E18</f>
        <v>14654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324</v>
      </c>
      <c r="D23" s="443"/>
      <c r="E23" s="442">
        <f t="shared" si="0"/>
        <v>324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10967</v>
      </c>
      <c r="D26" s="362">
        <f>SUM(D27:D29)</f>
        <v>10967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558</v>
      </c>
      <c r="D27" s="368">
        <v>558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2342</v>
      </c>
      <c r="D28" s="368">
        <v>2342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8067</v>
      </c>
      <c r="D29" s="368">
        <v>8067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804</v>
      </c>
      <c r="D30" s="368">
        <v>804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166</v>
      </c>
      <c r="D31" s="368">
        <v>166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11957</v>
      </c>
      <c r="D45" s="438">
        <f>D26+D30+D31+D33+D32+D34+D35+D40</f>
        <v>11957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26935</v>
      </c>
      <c r="D46" s="444">
        <f>D45+D23+D21+D11</f>
        <v>11957</v>
      </c>
      <c r="E46" s="445">
        <f>E45+E23+E21+E11</f>
        <v>14978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311</v>
      </c>
      <c r="D66" s="197"/>
      <c r="E66" s="136">
        <f t="shared" si="1"/>
        <v>311</v>
      </c>
      <c r="F66" s="196"/>
    </row>
    <row r="67" spans="1:6" ht="15.75">
      <c r="A67" s="370" t="s">
        <v>684</v>
      </c>
      <c r="B67" s="135" t="s">
        <v>685</v>
      </c>
      <c r="C67" s="197">
        <v>311</v>
      </c>
      <c r="D67" s="197"/>
      <c r="E67" s="136">
        <f t="shared" si="1"/>
        <v>311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311</v>
      </c>
      <c r="D68" s="435">
        <f>D54+D58+D63+D64+D65+D66</f>
        <v>0</v>
      </c>
      <c r="E68" s="436">
        <f t="shared" si="1"/>
        <v>311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155</v>
      </c>
      <c r="D70" s="197"/>
      <c r="E70" s="136">
        <f t="shared" si="1"/>
        <v>155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3070</v>
      </c>
      <c r="D73" s="137">
        <f>SUM(D74:D76)</f>
        <v>3070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3070</v>
      </c>
      <c r="D74" s="197">
        <v>3070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2695</v>
      </c>
      <c r="D87" s="134">
        <f>SUM(D88:D92)+D96</f>
        <v>2695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1207</v>
      </c>
      <c r="D89" s="197">
        <v>1207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111</v>
      </c>
      <c r="D90" s="197">
        <v>111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515</v>
      </c>
      <c r="D91" s="197">
        <v>515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473</v>
      </c>
      <c r="D92" s="138">
        <f>SUM(D93:D95)</f>
        <v>473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102</v>
      </c>
      <c r="D93" s="197">
        <v>102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251</v>
      </c>
      <c r="D94" s="197">
        <v>251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120</v>
      </c>
      <c r="D95" s="197">
        <v>120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389</v>
      </c>
      <c r="D96" s="197">
        <v>389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255</v>
      </c>
      <c r="D97" s="197">
        <v>255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6020</v>
      </c>
      <c r="D98" s="433">
        <f>D87+D82+D77+D73+D97</f>
        <v>6020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6486</v>
      </c>
      <c r="D99" s="427">
        <f>D98+D70+D68</f>
        <v>6020</v>
      </c>
      <c r="E99" s="427">
        <f>E98+E70+E68</f>
        <v>466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7">
        <f>pdeReportingDate</f>
        <v>45012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Валентина Димитрова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977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977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977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977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7">
        <f>pdeReportingDate</f>
        <v>45012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Валентина Димитрова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2021-12-10T13:26:48Z</cp:lastPrinted>
  <dcterms:created xsi:type="dcterms:W3CDTF">2006-09-16T00:00:00Z</dcterms:created>
  <dcterms:modified xsi:type="dcterms:W3CDTF">2023-03-28T08:39:45Z</dcterms:modified>
  <cp:category/>
  <cp:version/>
  <cp:contentType/>
  <cp:contentStatus/>
</cp:coreProperties>
</file>