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19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_FV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<sst xmlns="http://schemas.openxmlformats.org/spreadsheetml/2006/main" count="4289" uniqueCount="1000">
  <si>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</si>
  <si>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</si>
  <si>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</si>
  <si>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</si>
  <si>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</si>
  <si>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</si>
  <si>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</si>
  <si>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</si>
  <si>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</si>
  <si>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</si>
  <si>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</si>
  <si>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</si>
  <si>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</si>
  <si>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</si>
  <si>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</si>
  <si>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</si>
  <si>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</si>
  <si>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</si>
  <si>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</si>
  <si>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</si>
  <si>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</si>
  <si>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</si>
  <si>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</si>
  <si>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</si>
  <si>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</si>
  <si>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</si>
  <si>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</si>
  <si>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</si>
  <si>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</si>
  <si>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</si>
  <si>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</si>
  <si>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</si>
  <si>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</si>
  <si>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</si>
  <si>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</si>
  <si>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</si>
  <si>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</si>
  <si>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</si>
  <si>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</si>
  <si>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</si>
  <si>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</si>
  <si>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</si>
  <si>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</si>
  <si>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</si>
  <si>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</si>
  <si>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</si>
  <si>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</si>
  <si>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</si>
  <si>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</si>
  <si>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</si>
  <si>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</si>
  <si>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</si>
  <si>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</si>
  <si>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</si>
  <si>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</si>
  <si>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</si>
  <si>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</si>
  <si>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</si>
  <si>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</si>
  <si>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</si>
  <si>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</si>
  <si>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</si>
  <si>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</si>
  <si>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</si>
  <si>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</si>
  <si>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</si>
  <si>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</si>
  <si>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</si>
  <si>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</si>
  <si>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</si>
  <si>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</si>
  <si>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</si>
  <si>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</si>
  <si>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</si>
  <si>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</si>
  <si>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</si>
  <si>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</si>
  <si>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</si>
  <si>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</si>
  <si>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</si>
  <si>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</si>
  <si>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</si>
  <si>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</si>
  <si>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</si>
  <si>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</si>
  <si>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</si>
  <si>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</si>
  <si>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</si>
  <si>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</si>
  <si>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</si>
  <si>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</si>
  <si>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</si>
  <si>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</si>
  <si>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</si>
  <si>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</si>
  <si>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</si>
  <si>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</si>
  <si>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</si>
  <si>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</si>
  <si>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</si>
  <si>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</si>
  <si>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</si>
  <si>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</si>
  <si>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</si>
  <si>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</si>
  <si>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</si>
  <si>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</si>
  <si>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</si>
  <si>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</si>
  <si>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</si>
  <si>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</si>
  <si>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</si>
  <si>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</si>
  <si>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</si>
  <si>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</si>
  <si>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</si>
  <si>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</si>
  <si>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</si>
  <si>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</si>
  <si>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</si>
  <si>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</si>
  <si>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</si>
  <si>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</si>
  <si>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</si>
  <si>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</si>
  <si>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</si>
  <si>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</si>
  <si>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</si>
  <si>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</si>
  <si>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</si>
  <si>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</si>
  <si>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</si>
  <si>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</si>
  <si>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</si>
  <si>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</si>
  <si>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</si>
  <si>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</si>
  <si>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</si>
  <si>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</si>
  <si>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</si>
  <si>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</si>
  <si>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</si>
  <si>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</si>
  <si>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</si>
  <si>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</si>
  <si>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</si>
  <si>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</si>
  <si>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</si>
  <si>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</si>
  <si>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</si>
  <si>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</si>
  <si>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</si>
  <si>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</si>
  <si>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</si>
  <si>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</si>
  <si>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</si>
  <si>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</si>
  <si>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</si>
  <si>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</si>
  <si>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</si>
  <si>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</si>
  <si>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</si>
  <si>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</si>
  <si>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</si>
  <si>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</si>
  <si>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</si>
  <si>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</si>
  <si>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</si>
  <si>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</si>
  <si>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</si>
  <si>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</si>
  <si>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</si>
  <si>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</si>
  <si>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</si>
  <si>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</si>
  <si>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</si>
  <si>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</si>
  <si>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</si>
  <si>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</si>
  <si>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</si>
  <si>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</si>
  <si>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</si>
  <si>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</si>
  <si>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</si>
  <si>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</si>
  <si>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</si>
  <si>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</si>
  <si>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</si>
  <si>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</si>
  <si>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</si>
  <si>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</si>
  <si>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</si>
  <si>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</si>
  <si>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</si>
  <si>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</si>
  <si>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</si>
  <si>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</si>
  <si>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</si>
  <si>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</si>
  <si>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</si>
  <si>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</si>
  <si>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</si>
  <si>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</si>
  <si>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</si>
  <si>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</si>
  <si>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</si>
  <si>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</si>
  <si>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</si>
  <si>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</si>
  <si>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</si>
  <si>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</si>
  <si>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</si>
  <si>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</si>
  <si>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</si>
  <si>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</si>
  <si>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</si>
  <si>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</si>
  <si>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</si>
  <si>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</si>
  <si>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</si>
  <si>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</si>
  <si>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</si>
  <si>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</si>
  <si>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</si>
  <si>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</si>
  <si>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</si>
  <si>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</si>
  <si>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</si>
  <si>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</si>
  <si>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</si>
  <si>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</si>
  <si>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</si>
  <si>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</si>
  <si>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</si>
  <si>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</si>
  <si>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</si>
  <si>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</si>
  <si>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</si>
  <si>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</si>
  <si>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</si>
  <si>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</si>
  <si>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</si>
  <si>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</si>
  <si>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</si>
  <si>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</si>
  <si>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</si>
  <si>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</si>
  <si>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</si>
  <si>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</si>
  <si>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</si>
  <si>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</si>
  <si>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</si>
  <si>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</si>
  <si>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</si>
  <si>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</si>
  <si>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</si>
  <si>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</si>
  <si>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</si>
  <si>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</si>
  <si>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</si>
  <si>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</si>
  <si>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</si>
  <si>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</si>
  <si>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</si>
  <si>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</si>
  <si>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</si>
  <si>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</si>
  <si>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</si>
  <si>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</si>
  <si>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</si>
  <si>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</si>
  <si>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</si>
  <si>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</si>
  <si>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</si>
  <si>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</si>
  <si>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</si>
  <si>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</si>
  <si>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</si>
  <si>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</si>
  <si>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</si>
  <si>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</si>
  <si>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</si>
  <si>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</si>
  <si>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</si>
  <si>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</si>
  <si>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</si>
  <si>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</si>
  <si>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</si>
  <si>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</si>
  <si>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</si>
  <si>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</si>
  <si>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</si>
  <si>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</si>
  <si>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</si>
  <si>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</si>
  <si>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</si>
  <si>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</si>
  <si>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</si>
  <si>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</si>
  <si>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</si>
  <si>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</si>
  <si>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</si>
  <si>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</si>
  <si>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</si>
  <si>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</si>
  <si>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</si>
  <si>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</si>
  <si>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</si>
  <si>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</si>
  <si>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</si>
  <si>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</si>
  <si>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</si>
  <si>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</si>
  <si>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</si>
  <si>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</si>
  <si>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</si>
  <si>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</si>
  <si>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</si>
  <si>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</si>
  <si>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</si>
  <si>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</si>
  <si>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</si>
  <si>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</si>
  <si>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</si>
  <si>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</si>
  <si>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</si>
  <si>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</si>
  <si>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</si>
  <si>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</si>
  <si>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</si>
  <si>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</si>
  <si>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</si>
  <si>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</si>
  <si>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</si>
  <si>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</si>
  <si>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</si>
  <si>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</si>
  <si>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</si>
  <si>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</si>
  <si>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</si>
  <si>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</si>
  <si>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</si>
  <si>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</si>
  <si>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</si>
  <si>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</si>
  <si>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</si>
  <si>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</si>
  <si>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</si>
  <si>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</si>
  <si>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</si>
  <si>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</si>
  <si>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</si>
  <si>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</si>
  <si>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</si>
  <si>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</si>
  <si>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</si>
  <si>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</si>
  <si>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</si>
  <si>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</si>
  <si>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</si>
  <si>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</si>
  <si>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</si>
  <si>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</si>
  <si>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</si>
  <si>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</si>
  <si>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</si>
  <si>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</si>
  <si>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</si>
  <si>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</si>
  <si>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</si>
  <si>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</si>
  <si>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</si>
  <si>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</si>
  <si>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</si>
  <si>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</si>
  <si>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</si>
  <si>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</si>
  <si>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</si>
  <si>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</si>
  <si>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</si>
  <si>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</si>
  <si>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</si>
  <si>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</si>
  <si>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</si>
  <si>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</si>
  <si>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</si>
  <si>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</si>
  <si>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</si>
  <si>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</si>
  <si>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</si>
  <si>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</si>
  <si>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</si>
  <si>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</si>
  <si>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</si>
  <si>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</si>
  <si>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</si>
  <si>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</si>
  <si>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</si>
  <si>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</si>
  <si>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</si>
  <si>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</si>
  <si>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</si>
  <si>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</si>
  <si>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</si>
  <si>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</si>
  <si>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</si>
  <si>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</si>
  <si>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</si>
  <si>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</si>
  <si>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</si>
  <si>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</si>
  <si>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</si>
  <si>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</si>
  <si>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</si>
  <si>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</si>
  <si>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</si>
  <si>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</si>
  <si>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</si>
  <si>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</si>
  <si>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</si>
  <si>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</si>
  <si>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</si>
  <si>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</si>
  <si>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</si>
  <si>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</si>
  <si>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</si>
  <si>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</si>
  <si>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</si>
  <si>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</si>
  <si>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</si>
  <si>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</si>
  <si>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</si>
  <si>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</si>
  <si>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</si>
  <si>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</si>
  <si>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</si>
  <si>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</si>
  <si>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</si>
  <si>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</si>
  <si>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</si>
  <si>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</si>
  <si>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</si>
  <si>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</si>
  <si>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</si>
  <si>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</si>
  <si>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</si>
  <si>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</si>
  <si>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</si>
  <si>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</si>
  <si>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</si>
  <si>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</si>
  <si>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</si>
  <si>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</si>
  <si>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</si>
  <si>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</si>
  <si>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</si>
  <si>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</si>
  <si>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</si>
  <si>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</si>
  <si>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</si>
  <si>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</si>
  <si>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</si>
  <si>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</si>
  <si>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</si>
  <si>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</si>
  <si>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</si>
  <si>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</si>
  <si>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</si>
  <si>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</si>
  <si>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</si>
  <si>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</si>
  <si>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</si>
  <si>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</si>
  <si>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</si>
  <si>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</si>
  <si>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</si>
  <si>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</si>
  <si>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</si>
  <si>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</si>
  <si>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</si>
  <si>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</si>
  <si>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</si>
  <si>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</si>
  <si>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</si>
  <si>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</si>
  <si>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</si>
  <si>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</si>
  <si>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</si>
  <si>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</si>
  <si>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</si>
  <si>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</si>
  <si>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</si>
  <si>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</si>
  <si>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</si>
  <si>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</si>
  <si>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</si>
  <si>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</si>
  <si>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</si>
  <si>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</si>
  <si>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</si>
  <si>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</si>
  <si>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</si>
  <si>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</si>
  <si>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</si>
  <si>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</si>
  <si>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</si>
  <si>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</si>
  <si>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</si>
  <si>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</si>
  <si>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</si>
  <si>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</si>
  <si>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</si>
  <si>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</si>
  <si>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</si>
  <si>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</si>
  <si>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</si>
  <si>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</si>
  <si>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</si>
  <si>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</si>
  <si>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</si>
  <si>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</si>
  <si>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</si>
  <si>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</si>
  <si>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</si>
  <si>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</si>
  <si>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</si>
  <si>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</si>
  <si>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</si>
  <si>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</si>
  <si>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</si>
  <si>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</si>
  <si>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</si>
  <si>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</si>
  <si>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</si>
  <si>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</si>
  <si>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</si>
  <si>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</si>
  <si>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</si>
  <si>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</si>
  <si>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</si>
  <si>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</si>
  <si>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</si>
  <si>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</si>
  <si>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</si>
  <si>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</si>
  <si>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</si>
  <si>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</si>
  <si>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</si>
  <si>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</si>
  <si>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</si>
  <si>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</si>
  <si>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</si>
  <si>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</si>
  <si>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</si>
  <si>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</si>
  <si>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</si>
  <si>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</si>
  <si>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</si>
  <si>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</si>
  <si>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</si>
  <si>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</si>
  <si>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</si>
  <si>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</si>
  <si>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</si>
  <si>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</si>
  <si>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</si>
  <si>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</si>
  <si>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</si>
  <si>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</si>
  <si>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</si>
  <si>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</si>
  <si>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</si>
  <si>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</si>
  <si>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</si>
  <si>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</si>
  <si>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</si>
  <si>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</si>
  <si>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</si>
  <si>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</si>
  <si>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</si>
  <si>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</si>
  <si>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</si>
  <si>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</si>
  <si>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</si>
  <si>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</si>
  <si>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</si>
  <si>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</si>
  <si>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</si>
  <si>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</si>
  <si>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</si>
  <si>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</si>
  <si>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</si>
  <si>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</si>
  <si>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</si>
  <si>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</si>
  <si>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</si>
  <si>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</si>
  <si>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</si>
  <si>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</si>
  <si>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</si>
  <si>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</si>
  <si>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</si>
  <si>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</si>
  <si>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</si>
  <si>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</si>
  <si>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</si>
  <si>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</si>
  <si>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</si>
  <si>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</si>
  <si>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</si>
  <si>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</si>
  <si>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</si>
  <si>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</si>
  <si>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</si>
  <si>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</si>
  <si>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</si>
  <si>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</si>
  <si>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</si>
  <si>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</si>
  <si>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</si>
  <si>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</si>
  <si>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</si>
  <si>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</si>
  <si>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</si>
  <si>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</si>
  <si>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</si>
  <si>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</si>
  <si>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</si>
  <si>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</si>
  <si>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</si>
  <si>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</si>
  <si>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</si>
  <si>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</si>
  <si>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</si>
  <si>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</si>
  <si>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</si>
  <si>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</si>
  <si>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</si>
  <si>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</si>
  <si>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</si>
  <si>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</si>
  <si>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</si>
  <si>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</si>
  <si>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</si>
  <si>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</si>
  <si>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</si>
  <si>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</si>
  <si>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</si>
  <si>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</si>
  <si>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</si>
  <si>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</si>
  <si>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</si>
  <si>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</si>
  <si>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</si>
  <si>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</si>
  <si>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</si>
  <si>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</si>
  <si>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</si>
  <si>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</si>
  <si>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</si>
  <si>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</si>
  <si>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</si>
  <si>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</si>
  <si>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</si>
  <si>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</si>
  <si>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</si>
  <si>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</si>
  <si>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</si>
  <si>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</si>
  <si>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</si>
  <si>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</si>
  <si>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</si>
  <si>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</si>
  <si>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</si>
  <si>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</si>
  <si>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</si>
  <si>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</si>
  <si>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</si>
  <si>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</si>
  <si>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</si>
  <si>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</si>
  <si>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</si>
  <si>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</si>
  <si>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</si>
  <si>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</si>
  <si>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</si>
  <si>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</si>
  <si>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</si>
  <si>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</si>
  <si>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</si>
  <si>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</si>
  <si>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</si>
  <si>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</si>
  <si>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</si>
  <si>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</si>
  <si>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</si>
  <si>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</si>
  <si>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</si>
  <si>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</si>
  <si>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</si>
  <si>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</si>
  <si>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</si>
  <si>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</si>
  <si>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</si>
  <si>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</si>
  <si>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</si>
  <si>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</si>
  <si>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</si>
  <si>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</si>
  <si>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</si>
  <si>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</si>
  <si>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</si>
  <si>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</si>
  <si>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</si>
  <si>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</si>
  <si>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</si>
  <si>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</si>
  <si>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</si>
  <si>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</si>
  <si>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</si>
  <si>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</si>
  <si>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</si>
  <si>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</si>
  <si>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</si>
  <si>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</si>
  <si>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</si>
  <si>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</si>
  <si>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</si>
  <si>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</si>
  <si>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</si>
  <si>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</si>
  <si>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</si>
  <si>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</si>
  <si>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</si>
  <si>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</si>
  <si>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</si>
  <si>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</si>
  <si>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</si>
  <si>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</si>
  <si>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</si>
  <si>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</si>
  <si>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</si>
  <si>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</si>
  <si>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</si>
  <si>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</si>
  <si>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</si>
  <si>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</si>
  <si>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</si>
  <si>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</si>
  <si>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</si>
  <si>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</si>
  <si>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</si>
  <si>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</si>
  <si>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</si>
  <si>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</si>
  <si>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</si>
  <si>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</si>
  <si>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</si>
  <si>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</si>
  <si>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</si>
  <si>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</si>
  <si>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</si>
  <si>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</si>
  <si>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</si>
  <si>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</si>
  <si>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</si>
  <si>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</si>
  <si>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</si>
  <si>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</si>
  <si>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</si>
  <si>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</si>
  <si>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</si>
  <si>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</si>
  <si>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</si>
  <si>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</si>
  <si>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</si>
  <si>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</si>
  <si>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</si>
  <si>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</si>
  <si>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</si>
  <si>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</si>
  <si>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</si>
  <si>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</si>
  <si>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</si>
  <si>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</si>
  <si>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</si>
  <si>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</si>
  <si>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</si>
  <si>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</si>
  <si>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</si>
  <si>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</si>
  <si>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</si>
  <si>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</si>
  <si>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</si>
  <si>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</si>
  <si>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</si>
  <si>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</si>
  <si>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</si>
  <si>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</si>
  <si>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</si>
  <si>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</si>
  <si>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</si>
  <si>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</si>
  <si>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</si>
  <si>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</si>
  <si>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</si>
  <si>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</si>
  <si>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</si>
  <si>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</si>
  <si>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</si>
  <si>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</si>
  <si>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</si>
  <si>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</si>
  <si>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</si>
  <si>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</si>
  <si>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</si>
  <si>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</si>
  <si>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</si>
  <si>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</si>
  <si>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</si>
  <si>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</si>
  <si>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</si>
  <si>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</si>
  <si>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</si>
  <si>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</si>
  <si>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</si>
  <si>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</si>
  <si>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</si>
  <si>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</si>
  <si>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</si>
  <si>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</si>
  <si>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</si>
  <si>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</si>
  <si>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</si>
  <si>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</si>
  <si>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</si>
  <si>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</si>
  <si>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</si>
  <si>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</si>
  <si>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</si>
  <si>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</si>
  <si>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</si>
  <si>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</si>
  <si>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</si>
  <si>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</si>
  <si>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</si>
  <si>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</si>
  <si>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</si>
  <si>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</si>
  <si>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</si>
  <si>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</si>
  <si>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</si>
  <si>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</si>
  <si>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</si>
  <si>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</si>
  <si>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</si>
  <si>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</si>
  <si>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</si>
  <si>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</si>
  <si>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</si>
  <si>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</si>
  <si>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</si>
  <si>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</si>
  <si>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</si>
  <si>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</si>
  <si>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</si>
  <si>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</si>
  <si>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</si>
  <si>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</si>
  <si>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</si>
  <si>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</si>
  <si>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</si>
  <si>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</si>
  <si>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</si>
  <si>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</si>
  <si>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</si>
  <si>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</si>
  <si>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</si>
  <si>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</si>
  <si>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</si>
  <si>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</si>
  <si>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</si>
  <si>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</si>
  <si>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</si>
  <si>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</si>
  <si>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</si>
  <si>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</si>
  <si>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</si>
  <si>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</si>
  <si>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</si>
  <si>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</si>
  <si>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</si>
  <si>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</si>
  <si>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</si>
  <si>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</si>
  <si>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</si>
  <si>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</si>
  <si>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</si>
  <si>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</si>
  <si>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</si>
  <si>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</si>
  <si>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</si>
  <si>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</si>
  <si>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</si>
  <si>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</si>
  <si>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</si>
  <si>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</si>
  <si>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</si>
  <si>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</si>
  <si>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</si>
  <si>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</si>
  <si>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</si>
  <si>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</si>
  <si>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</si>
  <si>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</si>
  <si>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</si>
  <si>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</si>
  <si>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</si>
  <si>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</si>
  <si>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</si>
  <si>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</si>
  <si>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</si>
  <si>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</si>
  <si>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</si>
  <si>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</si>
  <si>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</si>
  <si>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</si>
  <si>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</si>
  <si>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</si>
  <si>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</si>
  <si>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</si>
  <si>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</si>
  <si>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</si>
  <si>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</si>
  <si>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</si>
  <si>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</si>
  <si>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</si>
  <si>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</si>
  <si>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</si>
  <si>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</si>
  <si>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</si>
  <si>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</si>
  <si>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</si>
  <si>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</si>
  <si>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</si>
  <si>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</si>
  <si>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</si>
  <si>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</si>
  <si>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</si>
  <si>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</si>
  <si>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</si>
  <si>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</si>
  <si>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</si>
  <si>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</si>
  <si>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</si>
  <si>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</si>
  <si>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</si>
  <si>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</si>
  <si>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</si>
  <si>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</si>
  <si>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</si>
  <si>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</si>
  <si>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</si>
  <si>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</si>
  <si>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</si>
  <si>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</si>
  <si>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</si>
  <si>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</si>
  <si>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</si>
  <si>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</si>
  <si>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</si>
  <si>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</si>
  <si>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</si>
  <si>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</si>
  <si>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</si>
  <si>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</si>
  <si>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</si>
  <si>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</si>
  <si>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</si>
  <si>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</si>
  <si>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</si>
  <si>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</si>
  <si>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</si>
  <si>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</si>
  <si>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</si>
  <si>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</si>
  <si>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</si>
  <si>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</si>
  <si>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СОФИЙСКА ВОДА АД</t>
  </si>
  <si>
    <t>130175000</t>
  </si>
  <si>
    <t>Васил Борисов Тренев</t>
  </si>
  <si>
    <t>Изпълнителен директор</t>
  </si>
  <si>
    <t>гр. София, бул. Цар Борис III №159, ет.2 и 3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</si>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</sst>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0" xfId="66" applyNumberFormat="1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2\KFN\SEPARATE\SPRAVKA_1_IND_GFO_6M_Y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3\SEPARATE\Trial%20Balance_Y2023_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.sofiyskavoda.local\Finance\accounts_data\Year%20end%202022\KFN\SEPARATE\SPRAVKA_1_IND_GFO_6M_Y202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2\SEPARATE\FO_SV_2022_06_sepatar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3\Trial%20Balance_Y20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2\Trial%20Balance_Y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Q12">
            <v>232237</v>
          </cell>
        </row>
        <row r="14">
          <cell r="Q14">
            <v>-44042</v>
          </cell>
        </row>
        <row r="15">
          <cell r="Q15">
            <v>-3744</v>
          </cell>
        </row>
        <row r="16">
          <cell r="Q16">
            <v>-26587</v>
          </cell>
        </row>
        <row r="17">
          <cell r="Q17">
            <v>-2020</v>
          </cell>
        </row>
        <row r="18">
          <cell r="Q18">
            <v>-1496</v>
          </cell>
        </row>
        <row r="19">
          <cell r="Q19">
            <v>-2711</v>
          </cell>
        </row>
        <row r="20">
          <cell r="Q20">
            <v>-382</v>
          </cell>
        </row>
        <row r="21">
          <cell r="Q21">
            <v>-10848</v>
          </cell>
        </row>
        <row r="22">
          <cell r="Q22">
            <v>-8927.708881666673</v>
          </cell>
        </row>
        <row r="30">
          <cell r="Q30">
            <v>-32451.565320000005</v>
          </cell>
        </row>
        <row r="34">
          <cell r="Q34">
            <v>-45185</v>
          </cell>
        </row>
        <row r="36">
          <cell r="Q36">
            <v>-4476</v>
          </cell>
        </row>
        <row r="37">
          <cell r="Q37">
            <v>-19368</v>
          </cell>
        </row>
        <row r="38">
          <cell r="Q38">
            <v>-255</v>
          </cell>
        </row>
        <row r="41">
          <cell r="Q41">
            <v>0</v>
          </cell>
        </row>
        <row r="44">
          <cell r="Q44">
            <v>1080</v>
          </cell>
        </row>
        <row r="47">
          <cell r="Q47">
            <v>0</v>
          </cell>
        </row>
        <row r="49">
          <cell r="Q49">
            <v>0</v>
          </cell>
        </row>
        <row r="51">
          <cell r="Q51">
            <v>-19923.31462</v>
          </cell>
        </row>
        <row r="56">
          <cell r="Q56">
            <v>110520.4111783333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</row>
        <row r="13">
          <cell r="C13">
            <v>1630</v>
          </cell>
          <cell r="G13">
            <v>8884</v>
          </cell>
        </row>
        <row r="14">
          <cell r="C14">
            <v>9812</v>
          </cell>
        </row>
        <row r="15">
          <cell r="C15">
            <v>0</v>
          </cell>
        </row>
        <row r="16">
          <cell r="C16">
            <v>6640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1325</v>
          </cell>
        </row>
        <row r="21">
          <cell r="G21">
            <v>-335</v>
          </cell>
        </row>
        <row r="23">
          <cell r="G23">
            <v>10774</v>
          </cell>
        </row>
        <row r="25">
          <cell r="C25">
            <v>5426</v>
          </cell>
        </row>
        <row r="26">
          <cell r="C26">
            <v>2</v>
          </cell>
        </row>
        <row r="27">
          <cell r="C27">
            <v>207521</v>
          </cell>
        </row>
        <row r="29">
          <cell r="G29">
            <v>275607.88428</v>
          </cell>
        </row>
        <row r="32">
          <cell r="G32">
            <v>20124</v>
          </cell>
        </row>
        <row r="36">
          <cell r="C36">
            <v>5</v>
          </cell>
        </row>
        <row r="49">
          <cell r="G49">
            <v>5964</v>
          </cell>
        </row>
        <row r="51">
          <cell r="C51">
            <v>112.80451000000001</v>
          </cell>
        </row>
        <row r="55">
          <cell r="C55">
            <v>11006</v>
          </cell>
        </row>
        <row r="59">
          <cell r="C59">
            <v>5774</v>
          </cell>
          <cell r="G59">
            <v>1333</v>
          </cell>
        </row>
        <row r="62">
          <cell r="G62">
            <v>3517</v>
          </cell>
        </row>
        <row r="64">
          <cell r="G64">
            <v>46888</v>
          </cell>
        </row>
        <row r="66">
          <cell r="G66">
            <v>7887</v>
          </cell>
        </row>
        <row r="67">
          <cell r="G67">
            <v>1224</v>
          </cell>
        </row>
        <row r="68">
          <cell r="C68">
            <v>132</v>
          </cell>
          <cell r="G68">
            <v>1130</v>
          </cell>
        </row>
        <row r="69">
          <cell r="C69">
            <v>44274</v>
          </cell>
          <cell r="G69">
            <v>7293</v>
          </cell>
        </row>
        <row r="70">
          <cell r="G70">
            <v>3983</v>
          </cell>
        </row>
        <row r="73">
          <cell r="C73">
            <v>810</v>
          </cell>
        </row>
        <row r="88">
          <cell r="C88">
            <v>5</v>
          </cell>
        </row>
        <row r="89">
          <cell r="C89">
            <v>99614.66711</v>
          </cell>
        </row>
        <row r="95">
          <cell r="C95">
            <v>394274.47161999997</v>
          </cell>
          <cell r="G95">
            <v>394273.88428</v>
          </cell>
        </row>
      </sheetData>
      <sheetData sheetId="2">
        <row r="22">
          <cell r="G22">
            <v>38</v>
          </cell>
        </row>
        <row r="25">
          <cell r="C25">
            <v>108</v>
          </cell>
          <cell r="G25">
            <v>1</v>
          </cell>
        </row>
        <row r="27">
          <cell r="C27">
            <v>7</v>
          </cell>
        </row>
        <row r="28">
          <cell r="C28">
            <v>637.42381</v>
          </cell>
        </row>
        <row r="39">
          <cell r="C39">
            <v>2816</v>
          </cell>
        </row>
        <row r="40">
          <cell r="C40">
            <v>-655</v>
          </cell>
        </row>
      </sheetData>
      <sheetData sheetId="3">
        <row r="11">
          <cell r="C11">
            <v>233422</v>
          </cell>
        </row>
        <row r="14">
          <cell r="C14">
            <v>-39861</v>
          </cell>
        </row>
        <row r="15">
          <cell r="C15">
            <v>-21937</v>
          </cell>
        </row>
        <row r="16">
          <cell r="C16">
            <v>-3236</v>
          </cell>
        </row>
        <row r="20">
          <cell r="C20">
            <v>-78087.620692</v>
          </cell>
        </row>
        <row r="23">
          <cell r="C23">
            <v>-31339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-243</v>
          </cell>
        </row>
        <row r="40">
          <cell r="C40">
            <v>3</v>
          </cell>
        </row>
        <row r="41">
          <cell r="C41">
            <v>-39042.53394</v>
          </cell>
        </row>
        <row r="45">
          <cell r="C45">
            <v>79941</v>
          </cell>
        </row>
        <row r="46">
          <cell r="C46">
            <v>99619.84536800001</v>
          </cell>
        </row>
      </sheetData>
      <sheetData sheetId="7">
        <row r="104">
          <cell r="F104">
            <v>1789.35</v>
          </cell>
        </row>
        <row r="105">
          <cell r="F105">
            <v>0</v>
          </cell>
        </row>
        <row r="106">
          <cell r="F106">
            <v>2193.15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S4"/>
      <sheetName val="CODESS4"/>
      <sheetName val="CODES"/>
      <sheetName val="IAS"/>
      <sheetName val="Sheet1"/>
      <sheetName val="PL_KPMG"/>
      <sheetName val="BS_KPMG"/>
      <sheetName val="CF"/>
      <sheetName val="SCE"/>
      <sheetName val="NoteP&amp;L"/>
      <sheetName val="NoteBS"/>
      <sheetName val="divident_ogran"/>
      <sheetName val="FInst, loans"/>
      <sheetName val="22"/>
      <sheetName val="406"/>
      <sheetName val="401"/>
      <sheetName val="492"/>
      <sheetName val="WP_062023_КФН"/>
      <sheetName val="PPE note"/>
      <sheetName val="IA note"/>
      <sheetName val="49911,40"/>
      <sheetName val="49909"/>
      <sheetName val="Deposits"/>
      <sheetName val="613"/>
      <sheetName val="416"/>
      <sheetName val="14,18"/>
      <sheetName val="Deferred receivables"/>
      <sheetName val="49811"/>
      <sheetName val="41113,40"/>
      <sheetName val="loans_short_long"/>
      <sheetName val="SWAP AND LOANS"/>
      <sheetName val="Payments FA"/>
      <sheetName val="lp"/>
      <sheetName val="ADVANCE TAX PROFIT"/>
      <sheetName val="ISP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6">
        <row r="43">
          <cell r="G43">
            <v>814802</v>
          </cell>
          <cell r="N43">
            <v>582261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CODESS4"/>
      <sheetName val="S4"/>
      <sheetName val="IAS"/>
      <sheetName val="PL"/>
      <sheetName val="BS"/>
      <sheetName val="SCE"/>
      <sheetName val="CF"/>
      <sheetName val="NoteP&amp;L"/>
      <sheetName val="NoteBS"/>
      <sheetName val="Revenue note"/>
      <sheetName val="22"/>
      <sheetName val="FInst, loans"/>
      <sheetName val="14,18"/>
      <sheetName val="WP_2023_Dec"/>
      <sheetName val="PPE note IFRS16"/>
      <sheetName val="IA note"/>
      <sheetName val="LeadSheet"/>
      <sheetName val="divident_ogran"/>
      <sheetName val="Deposits"/>
      <sheetName val="49909"/>
      <sheetName val="50"/>
      <sheetName val="406"/>
      <sheetName val="416"/>
      <sheetName val="ISPA"/>
      <sheetName val="49911"/>
      <sheetName val="49908"/>
      <sheetName val="Deferred receivables"/>
      <sheetName val="721_62102"/>
      <sheetName val="LOANS"/>
      <sheetName val="Payments FA"/>
      <sheetName val="CURREN"/>
      <sheetName val="lp"/>
      <sheetName val="4981102"/>
      <sheetName val="41113,40"/>
      <sheetName val="ADVANCE TAX PROFIT"/>
      <sheetName val="492"/>
      <sheetName val="401"/>
    </sheetNames>
    <sheetDataSet>
      <sheetData sheetId="3">
        <row r="4">
          <cell r="G4">
            <v>50531</v>
          </cell>
        </row>
      </sheetData>
      <sheetData sheetId="4">
        <row r="19">
          <cell r="G19">
            <v>2401008.48</v>
          </cell>
          <cell r="AO19">
            <v>104211.60999999987</v>
          </cell>
        </row>
        <row r="114">
          <cell r="F114">
            <v>5249583.169524675</v>
          </cell>
        </row>
        <row r="116">
          <cell r="F116">
            <v>618623.4300000181</v>
          </cell>
        </row>
      </sheetData>
      <sheetData sheetId="5">
        <row r="5">
          <cell r="AK5">
            <v>194946</v>
          </cell>
          <cell r="AL5">
            <v>193731</v>
          </cell>
        </row>
        <row r="6">
          <cell r="AK6">
            <v>1989</v>
          </cell>
          <cell r="AL6">
            <v>1907</v>
          </cell>
        </row>
        <row r="7">
          <cell r="AK7">
            <v>46257</v>
          </cell>
          <cell r="AL7">
            <v>38762</v>
          </cell>
        </row>
        <row r="10">
          <cell r="AK10">
            <v>-23554</v>
          </cell>
          <cell r="AL10">
            <v>-18848</v>
          </cell>
        </row>
        <row r="11">
          <cell r="AK11">
            <v>-71392</v>
          </cell>
          <cell r="AL11">
            <v>-64603</v>
          </cell>
        </row>
        <row r="12">
          <cell r="AK12">
            <v>-29146</v>
          </cell>
          <cell r="AL12">
            <v>-76727</v>
          </cell>
        </row>
        <row r="13">
          <cell r="AK13">
            <v>-40420</v>
          </cell>
          <cell r="AL13">
            <v>-33221</v>
          </cell>
        </row>
        <row r="14">
          <cell r="AK14">
            <v>-8693</v>
          </cell>
          <cell r="AL14">
            <v>-7863</v>
          </cell>
        </row>
        <row r="15">
          <cell r="AK15">
            <v>-5878</v>
          </cell>
          <cell r="AL15">
            <v>-5553</v>
          </cell>
        </row>
        <row r="16">
          <cell r="AK16">
            <v>-7005</v>
          </cell>
          <cell r="AL16">
            <v>-4587</v>
          </cell>
        </row>
      </sheetData>
      <sheetData sheetId="6">
        <row r="10">
          <cell r="W10">
            <v>5</v>
          </cell>
        </row>
        <row r="11">
          <cell r="W11">
            <v>10387</v>
          </cell>
        </row>
        <row r="16">
          <cell r="W16">
            <v>5259</v>
          </cell>
        </row>
        <row r="18">
          <cell r="W18">
            <v>32796</v>
          </cell>
        </row>
        <row r="19">
          <cell r="W19">
            <v>12984</v>
          </cell>
        </row>
        <row r="20">
          <cell r="W20">
            <v>74</v>
          </cell>
        </row>
        <row r="21">
          <cell r="W21">
            <v>36</v>
          </cell>
        </row>
        <row r="22">
          <cell r="W22">
            <v>61068</v>
          </cell>
        </row>
        <row r="26">
          <cell r="W26">
            <v>428889</v>
          </cell>
        </row>
        <row r="30">
          <cell r="W30">
            <v>8884</v>
          </cell>
        </row>
        <row r="31">
          <cell r="W31">
            <v>10774</v>
          </cell>
        </row>
        <row r="35">
          <cell r="P35">
            <v>-386</v>
          </cell>
        </row>
        <row r="38">
          <cell r="W38">
            <v>1218</v>
          </cell>
        </row>
        <row r="39">
          <cell r="W39">
            <v>2348</v>
          </cell>
        </row>
        <row r="41">
          <cell r="W41">
            <v>3837</v>
          </cell>
        </row>
        <row r="45">
          <cell r="W45">
            <v>0</v>
          </cell>
        </row>
        <row r="46">
          <cell r="W46">
            <v>544</v>
          </cell>
        </row>
        <row r="48">
          <cell r="W48">
            <v>10329</v>
          </cell>
        </row>
        <row r="50">
          <cell r="W50">
            <v>3651</v>
          </cell>
        </row>
        <row r="52">
          <cell r="W52">
            <v>5363</v>
          </cell>
        </row>
        <row r="53">
          <cell r="W53">
            <v>1054</v>
          </cell>
        </row>
        <row r="58">
          <cell r="W58">
            <v>428889</v>
          </cell>
        </row>
      </sheetData>
      <sheetData sheetId="7">
        <row r="8">
          <cell r="E8">
            <v>-19923.31223</v>
          </cell>
        </row>
      </sheetData>
      <sheetData sheetId="9">
        <row r="83">
          <cell r="C83">
            <v>12179.19</v>
          </cell>
        </row>
        <row r="85">
          <cell r="C85">
            <v>17995.93</v>
          </cell>
        </row>
        <row r="86">
          <cell r="C86">
            <v>1067669.63</v>
          </cell>
        </row>
        <row r="87">
          <cell r="C87">
            <v>219.44</v>
          </cell>
        </row>
        <row r="93">
          <cell r="C93">
            <v>-35947.31</v>
          </cell>
        </row>
        <row r="94">
          <cell r="C94">
            <v>-121168</v>
          </cell>
        </row>
        <row r="95">
          <cell r="C95">
            <v>-6598.15</v>
          </cell>
        </row>
        <row r="96">
          <cell r="C96">
            <v>-4296.25</v>
          </cell>
        </row>
        <row r="97">
          <cell r="C97">
            <v>-37884.05</v>
          </cell>
        </row>
        <row r="98">
          <cell r="C98">
            <v>-8293.61</v>
          </cell>
        </row>
      </sheetData>
      <sheetData sheetId="10">
        <row r="41">
          <cell r="E41">
            <v>3</v>
          </cell>
        </row>
        <row r="44">
          <cell r="E44">
            <v>47044</v>
          </cell>
        </row>
        <row r="55">
          <cell r="E55">
            <v>26808</v>
          </cell>
        </row>
        <row r="56">
          <cell r="E56">
            <v>2828</v>
          </cell>
        </row>
        <row r="57">
          <cell r="E57">
            <v>10493</v>
          </cell>
        </row>
        <row r="58">
          <cell r="E58">
            <v>152</v>
          </cell>
        </row>
        <row r="60">
          <cell r="G60">
            <v>737.1752493275999</v>
          </cell>
        </row>
        <row r="63">
          <cell r="E63">
            <v>1472</v>
          </cell>
        </row>
        <row r="64">
          <cell r="G64">
            <v>2250</v>
          </cell>
        </row>
        <row r="65">
          <cell r="E65">
            <v>2635.87141</v>
          </cell>
        </row>
        <row r="66">
          <cell r="E66">
            <v>60.14032</v>
          </cell>
        </row>
        <row r="67">
          <cell r="E67">
            <v>191.0958</v>
          </cell>
        </row>
        <row r="68">
          <cell r="E68">
            <v>5718</v>
          </cell>
        </row>
        <row r="109">
          <cell r="D109">
            <v>1682</v>
          </cell>
          <cell r="F109">
            <v>-503</v>
          </cell>
        </row>
        <row r="110">
          <cell r="D110">
            <v>201.24558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CODESS4"/>
      <sheetName val="S4"/>
      <sheetName val="IAS"/>
      <sheetName val="PL_KPMG"/>
      <sheetName val="BS_KPMG"/>
      <sheetName val="SCE"/>
      <sheetName val="NoteP&amp;L"/>
      <sheetName val="NoteBS"/>
      <sheetName val="divident_ogran"/>
      <sheetName val="Revenue note_KPMG Format"/>
      <sheetName val="22"/>
      <sheetName val="FInst, loans"/>
      <sheetName val="CF"/>
      <sheetName val="WP_2022_Dec"/>
      <sheetName val="PPE note IFRS16"/>
      <sheetName val="IA note"/>
      <sheetName val="49909"/>
      <sheetName val="50"/>
      <sheetName val="406"/>
      <sheetName val="416"/>
      <sheetName val="ISPA"/>
      <sheetName val="49911"/>
      <sheetName val="49908"/>
      <sheetName val="14,18"/>
      <sheetName val="Deferred receivables"/>
      <sheetName val="721_62102"/>
      <sheetName val="LOANS"/>
      <sheetName val="Payments FA"/>
      <sheetName val="CURREN"/>
      <sheetName val="lp"/>
      <sheetName val="4981102"/>
      <sheetName val="41113,40"/>
      <sheetName val="ADVANCE TAX PROFIT"/>
      <sheetName val="492"/>
      <sheetName val="401"/>
    </sheetNames>
    <sheetDataSet>
      <sheetData sheetId="9">
        <row r="108">
          <cell r="D108">
            <v>307.46354</v>
          </cell>
          <cell r="F108">
            <v>-289.66354</v>
          </cell>
        </row>
        <row r="109">
          <cell r="D109">
            <v>394.36897999999997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4" zoomScaleSheetLayoutView="84" zoomScalePageLayoutView="0" workbookViewId="0" topLeftCell="A1">
      <selection activeCell="B11" sqref="B11"/>
    </sheetView>
  </sheetViews>
  <sheetFormatPr defaultColWidth="9.140625" defaultRowHeight="15"/>
  <cols>
    <col min="1" max="1" width="30.57421875" style="688" customWidth="1"/>
    <col min="2" max="2" width="65.574218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45380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Анелия Илиева Илиева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45380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428889.22008999996</v>
      </c>
      <c r="D6" s="675">
        <f aca="true" t="shared" si="0" ref="D6:D15">C6-E6</f>
        <v>0.6480399999418296</v>
      </c>
      <c r="E6" s="674">
        <f>'1-Баланс'!G95</f>
        <v>428888.57205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347199.57205</v>
      </c>
      <c r="D7" s="675">
        <f t="shared" si="0"/>
        <v>338315.57205</v>
      </c>
      <c r="E7" s="674">
        <f>'1-Баланс'!G18</f>
        <v>8884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52120</v>
      </c>
      <c r="D8" s="675">
        <f t="shared" si="0"/>
        <v>0.29767999998875894</v>
      </c>
      <c r="E8" s="674">
        <f>ABS('2-Отчет за доходите'!C44)-ABS('2-Отчет за доходите'!G44)</f>
        <v>52119.70232000001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99619.66711</v>
      </c>
      <c r="D9" s="675">
        <f t="shared" si="0"/>
        <v>-0.17825800001446623</v>
      </c>
      <c r="E9" s="674">
        <f>'3-Отчет за паричния поток'!C45</f>
        <v>99619.84536800001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110517.00847999999</v>
      </c>
      <c r="D10" s="675">
        <f t="shared" si="0"/>
        <v>-0.24806633334083017</v>
      </c>
      <c r="E10" s="674">
        <f>'3-Отчет за паричния поток'!C46</f>
        <v>110517.25654633333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347199.57205</v>
      </c>
      <c r="D11" s="675">
        <f t="shared" si="0"/>
        <v>-0.46899999998277053</v>
      </c>
      <c r="E11" s="674">
        <f>'4-Отчет за собствения капитал'!L34</f>
        <v>347200.04105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0.21431626040330273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0.15011539240173438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0.6380296000685527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0.12152322221822902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1.311255976490498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2.176264820827612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2.105470862342837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1.4877232382952372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1.4877232382952372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0.9282633423160016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0.56702754139861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0.020876893129123032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0.23527966787999385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0.19046643322687856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58193.70232000001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0.1676087962217291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0.3575246787634592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0.9353020199302184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1752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9449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6882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1157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19425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5471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1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231830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237302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104.21160999999987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104.21160999999987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10387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267223.21161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5259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5259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74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45780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36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45890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47045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63469.00848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110517.00847999999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161666.00848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428889.22008999996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-386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10388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275807.57205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275807.57205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52120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327927.57205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347199.57205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7403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7403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7403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544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61702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3651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45835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10493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1472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251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6677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5363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74286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74286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428888.57205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23554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71392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29146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40420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8693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12883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5878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1380.24558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186088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206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8.293610000000001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214.29361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186302.29361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57987.70232000001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186302.29361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57987.70232000001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5868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5250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618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52119.70232000001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52119.70232000001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244289.99593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196935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46257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243192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1080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17.99593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1097.99593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244289.99593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244289.99593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244289.99593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232237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-44042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-19623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-4476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-89170.27420166667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74925.72579833333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-45185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-45185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1080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-19923.31462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-18843.31462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10897.411178333321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99619.84536800001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110517.25654633333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47048.24806633333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63469.00848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-335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-335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-50.531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-50.531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-385.531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-385.531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295730.88428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295730.88428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52120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-19923.31223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-19923.31223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327927.57205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327927.57205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315053.88428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315053.88428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52120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-19923.31223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-19923.31223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-50.531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-50.531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347200.04105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347200.04105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6233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44437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22810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3020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76685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25571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684112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730724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5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5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5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814807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1732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2593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1706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4326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28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10385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1043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81444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82487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92872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1115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145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4326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5586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35188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35188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40774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7965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45915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24371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3048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81484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26614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730368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778023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5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5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5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866905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7965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45915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24371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3048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81484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26614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730368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778023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5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5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5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866905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4603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34625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16169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1696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57093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20145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21039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476591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517775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582261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1610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2931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1464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195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6200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998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1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21947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22946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29146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1090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144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1234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1234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6213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36466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17489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1891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62059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21143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21040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498538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540721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610173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6213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36466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17489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1891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62059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21143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21040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498538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540721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610173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1752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9449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6882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1157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19425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5471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1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231830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237302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5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5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5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256732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104.21160999999987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104.21160999999987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104.21160999999987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10387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74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45780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36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36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45890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56381.21161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74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45780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36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36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45890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45890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104.21160999999987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104.21160999999987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104.21160999999987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10387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10491.21161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7947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1762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7947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3651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3651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58050.8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45834.8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10493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251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60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191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1472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6677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68378.8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76325.8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544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544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544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3651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3651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58050.8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45834.8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10493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251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60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191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1472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6677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68378.8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68922.8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7403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1218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7403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7403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1789.35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2193.15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3982.5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1682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201.5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1883.5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503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503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2968.35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2394.65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5363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6">
      <selection activeCell="C91" sqref="C91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'[3]1-Баланс'!C12</f>
        <v>185</v>
      </c>
      <c r="E12" s="89" t="s">
        <v>25</v>
      </c>
      <c r="F12" s="93" t="s">
        <v>26</v>
      </c>
      <c r="G12" s="197">
        <f>'[7]BS'!$W$30</f>
        <v>8884</v>
      </c>
      <c r="H12" s="196">
        <f>'1-Баланс'!G12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1752</v>
      </c>
      <c r="D13" s="196">
        <f>'[3]1-Баланс'!C13</f>
        <v>1630</v>
      </c>
      <c r="E13" s="89" t="s">
        <v>846</v>
      </c>
      <c r="F13" s="93" t="s">
        <v>29</v>
      </c>
      <c r="G13" s="197">
        <f>G12</f>
        <v>8884</v>
      </c>
      <c r="H13" s="196">
        <f>'[3]1-Баланс'!G13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9449</v>
      </c>
      <c r="D14" s="196">
        <f>'[3]1-Баланс'!C14</f>
        <v>9812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'[3]1-Баланс'!C15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6882</v>
      </c>
      <c r="D16" s="196">
        <f>'[3]1-Баланс'!C16</f>
        <v>6640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'[3]1-Баланс'!C17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f>'[3]1-Баланс'!C18</f>
        <v>0</v>
      </c>
      <c r="E18" s="481" t="s">
        <v>47</v>
      </c>
      <c r="F18" s="480" t="s">
        <v>48</v>
      </c>
      <c r="G18" s="609">
        <f>G12+G15+G16+G17</f>
        <v>8884</v>
      </c>
      <c r="H18" s="610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1157</v>
      </c>
      <c r="D19" s="196">
        <f>'[3]1-Баланс'!C19</f>
        <v>1325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19425</v>
      </c>
      <c r="D20" s="598">
        <f>SUM(D12:D19)</f>
        <v>19592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f>'[7]BS'!$P$35</f>
        <v>-386</v>
      </c>
      <c r="H21" s="196">
        <f>'[3]1-Баланс'!$G$21</f>
        <v>-335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10774</v>
      </c>
      <c r="H22" s="614">
        <f>SUM(H23:H25)</f>
        <v>10774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'[7]BS'!$W$31</f>
        <v>10774</v>
      </c>
      <c r="H23" s="196">
        <f>'[3]1-Баланс'!$G$23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6'!R25</f>
        <v>5471</v>
      </c>
      <c r="D25" s="196">
        <f>'[3]1-Баланс'!C25</f>
        <v>5426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6'!R26</f>
        <v>1</v>
      </c>
      <c r="D26" s="196">
        <f>'[3]1-Баланс'!C26</f>
        <v>2</v>
      </c>
      <c r="E26" s="484" t="s">
        <v>77</v>
      </c>
      <c r="F26" s="95" t="s">
        <v>78</v>
      </c>
      <c r="G26" s="597">
        <f>G20+G21+G22</f>
        <v>10388</v>
      </c>
      <c r="H26" s="598">
        <f>H20+H21+H22</f>
        <v>10439</v>
      </c>
      <c r="M26" s="98"/>
    </row>
    <row r="27" spans="1:8" ht="15.75">
      <c r="A27" s="89" t="s">
        <v>79</v>
      </c>
      <c r="B27" s="91" t="s">
        <v>80</v>
      </c>
      <c r="C27" s="197">
        <f>'Справка 6'!R27</f>
        <v>231830</v>
      </c>
      <c r="D27" s="196">
        <f>'[3]1-Баланс'!C27</f>
        <v>207521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237302</v>
      </c>
      <c r="D28" s="598">
        <f>SUM(D24:D27)</f>
        <v>212949</v>
      </c>
      <c r="E28" s="202" t="s">
        <v>84</v>
      </c>
      <c r="F28" s="93" t="s">
        <v>85</v>
      </c>
      <c r="G28" s="595">
        <f>SUM(G29:G31)</f>
        <v>275807.57205</v>
      </c>
      <c r="H28" s="596">
        <f>SUM(H29:H31)</f>
        <v>275606.88428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H34+'4-Отчет за собствения капитал'!I20</f>
        <v>275807.57205</v>
      </c>
      <c r="H29" s="196">
        <f>'[3]1-Баланс'!$G$29-1</f>
        <v>275606.88428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ROUND('2-Отчет за доходите'!C44,0)</f>
        <v>52120</v>
      </c>
      <c r="H32" s="196">
        <f>'[3]1-Баланс'!$G$32</f>
        <v>20124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327927.57205</v>
      </c>
      <c r="H34" s="598">
        <f>H28+H32+H33</f>
        <v>295730.88428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f>'[7]BS'!$W$10</f>
        <v>5</v>
      </c>
      <c r="D36" s="196">
        <f>'[3]1-Баланс'!$C$36</f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347199.57205</v>
      </c>
      <c r="H37" s="600">
        <f>H26+H18+H34</f>
        <v>315053.88428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f>'[3]1-Баланс'!G45</f>
        <v>0</v>
      </c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SUM('[7]BS'!$W$37:$W$41)</f>
        <v>7403</v>
      </c>
      <c r="H49" s="196">
        <f>'[3]1-Баланс'!G49</f>
        <v>5964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7403</v>
      </c>
      <c r="H50" s="596">
        <f>SUM(H44:H49)</f>
        <v>5964</v>
      </c>
    </row>
    <row r="51" spans="1:8" ht="15.75">
      <c r="A51" s="89" t="s">
        <v>79</v>
      </c>
      <c r="B51" s="91" t="s">
        <v>155</v>
      </c>
      <c r="C51" s="197">
        <f>'[7]IAS'!$AO$19/1000</f>
        <v>104.21160999999987</v>
      </c>
      <c r="D51" s="196">
        <f>'[3]1-Баланс'!$C$51</f>
        <v>112.80451000000001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104.21160999999987</v>
      </c>
      <c r="D52" s="598">
        <f>SUM(D48:D51)</f>
        <v>112.80451000000001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f>'[7]BS'!$W$11</f>
        <v>10387</v>
      </c>
      <c r="D55" s="479">
        <f>'[3]1-Баланс'!$C$55</f>
        <v>11006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267223.21161</v>
      </c>
      <c r="D56" s="602">
        <f>D20+D21+D22+D28+D33+D46+D52+D54+D55</f>
        <v>243664.80451</v>
      </c>
      <c r="E56" s="100" t="s">
        <v>850</v>
      </c>
      <c r="F56" s="99" t="s">
        <v>172</v>
      </c>
      <c r="G56" s="599">
        <f>G50+G52+G53+G54+G55</f>
        <v>7403</v>
      </c>
      <c r="H56" s="600">
        <f>H50+H52+H53+H54+H55</f>
        <v>5964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f>'[7]BS'!$W$16</f>
        <v>5259</v>
      </c>
      <c r="D59" s="196">
        <f>'[3]1-Баланс'!$C$59</f>
        <v>5774</v>
      </c>
      <c r="E59" s="201" t="s">
        <v>180</v>
      </c>
      <c r="F59" s="486" t="s">
        <v>181</v>
      </c>
      <c r="G59" s="197">
        <f>'[7]BS'!$W$45+'[7]BS'!$W$46</f>
        <v>544</v>
      </c>
      <c r="H59" s="196">
        <f>'[3]1-Баланс'!$G$59</f>
        <v>1333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61702</v>
      </c>
      <c r="H61" s="596">
        <f>SUM(H62:H68)</f>
        <v>60647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ROUND('[7]BS'!$W$50,0)</f>
        <v>3651</v>
      </c>
      <c r="H62" s="196">
        <f>'[3]1-Баланс'!G62</f>
        <v>3517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'[3]1-Баланс'!G63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ROUND('[7]NoteBS'!$E$55+'[7]NoteBS'!$E$56+'[7]NoteBS'!$E$58+'[7]NoteBS'!$E$68+'[7]BS'!$W$48,0)</f>
        <v>45835</v>
      </c>
      <c r="H64" s="196">
        <f>'[3]1-Баланс'!G64+1</f>
        <v>46889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5259</v>
      </c>
      <c r="D65" s="598">
        <f>SUM(D59:D64)</f>
        <v>5774</v>
      </c>
      <c r="E65" s="89" t="s">
        <v>201</v>
      </c>
      <c r="F65" s="93" t="s">
        <v>202</v>
      </c>
      <c r="G65" s="197"/>
      <c r="H65" s="196">
        <f>'[3]1-Баланс'!G65</f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ROUND('[7]NoteBS'!$E$57,0)</f>
        <v>10493</v>
      </c>
      <c r="H66" s="196">
        <f>'[3]1-Баланс'!G66</f>
        <v>7887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ROUND('[7]NoteBS'!$E$63,0)</f>
        <v>1472</v>
      </c>
      <c r="H67" s="196">
        <f>'[3]1-Баланс'!G67</f>
        <v>1224</v>
      </c>
    </row>
    <row r="68" spans="1:8" ht="15.75">
      <c r="A68" s="89" t="s">
        <v>206</v>
      </c>
      <c r="B68" s="91" t="s">
        <v>207</v>
      </c>
      <c r="C68" s="197">
        <f>'[7]BS'!$W$20</f>
        <v>74</v>
      </c>
      <c r="D68" s="196">
        <f>'[3]1-Баланс'!C68</f>
        <v>132</v>
      </c>
      <c r="E68" s="89" t="s">
        <v>212</v>
      </c>
      <c r="F68" s="93" t="s">
        <v>213</v>
      </c>
      <c r="G68" s="197">
        <f>ROUND('[7]NoteBS'!$E$66+'[7]NoteBS'!$E$67,0)</f>
        <v>251</v>
      </c>
      <c r="H68" s="196">
        <f>'[3]1-Баланс'!G68</f>
        <v>1130</v>
      </c>
    </row>
    <row r="69" spans="1:8" ht="15.75">
      <c r="A69" s="89" t="s">
        <v>210</v>
      </c>
      <c r="B69" s="91" t="s">
        <v>211</v>
      </c>
      <c r="C69" s="197">
        <f>'[7]BS'!$W$18+'[7]BS'!$W$19</f>
        <v>45780</v>
      </c>
      <c r="D69" s="196">
        <f>'[3]1-Баланс'!C69</f>
        <v>44274</v>
      </c>
      <c r="E69" s="201" t="s">
        <v>79</v>
      </c>
      <c r="F69" s="93" t="s">
        <v>216</v>
      </c>
      <c r="G69" s="197">
        <f>ROUND('[7]NoteBS'!$G$64+'[7]BS'!$W$47+'[7]BS'!$W$53+'[7]NoteBS'!$G$60+'[7]NoteBS'!$E$65+'[7]NoteBS'!$E$51,0)</f>
        <v>6677</v>
      </c>
      <c r="H69" s="196">
        <f>'[3]1-Баланс'!G69</f>
        <v>7293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ROUND('[7]BS'!$W$52,0)</f>
        <v>5363</v>
      </c>
      <c r="H70" s="196">
        <f>'[3]1-Баланс'!G70</f>
        <v>3983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74286</v>
      </c>
      <c r="H71" s="598">
        <f>H59+H60+H61+H69+H70</f>
        <v>73256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'[7]BS'!$W$21</f>
        <v>36</v>
      </c>
      <c r="D73" s="196">
        <f>'[3]1-Баланс'!C73</f>
        <v>810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45890</v>
      </c>
      <c r="D76" s="598">
        <f>SUM(D68:D75)</f>
        <v>45216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74286</v>
      </c>
      <c r="H79" s="600">
        <f>H71+H73+H75+H77</f>
        <v>73256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f>'[7]NoteBS'!$E$41</f>
        <v>3</v>
      </c>
      <c r="D88" s="196">
        <f>'[3]1-Баланс'!C88</f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'[7]NoteBS'!$E$44+1</f>
        <v>47045</v>
      </c>
      <c r="D89" s="196">
        <f>'[3]1-Баланс'!C89</f>
        <v>99614.66711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f>'[7]BS'!$W$22++'[7]IAS'!$G$19/1000</f>
        <v>63469.00848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110517.00847999999</v>
      </c>
      <c r="D92" s="598">
        <f>SUM(D88:D91)</f>
        <v>99619.66711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161666.00848</v>
      </c>
      <c r="D94" s="602">
        <f>D65+D76+D85+D92+D93</f>
        <v>150609.66710999998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428889.22008999996</v>
      </c>
      <c r="D95" s="604">
        <f>D94+D56</f>
        <v>394274.47161999997</v>
      </c>
      <c r="E95" s="229" t="s">
        <v>941</v>
      </c>
      <c r="F95" s="489" t="s">
        <v>268</v>
      </c>
      <c r="G95" s="603">
        <f>G37+G40+G56+G79</f>
        <v>428888.57205</v>
      </c>
      <c r="H95" s="604">
        <f>H37+H40+H56+H79</f>
        <v>394273.88428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4">
        <f>pdeReportingDate</f>
        <v>45380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Анелия Илиева Илиева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990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2">
        <f>D95-'[3]1-Баланс'!$C$95</f>
        <v>0</v>
      </c>
      <c r="C106" s="703"/>
      <c r="D106" s="703"/>
      <c r="E106" s="703"/>
    </row>
    <row r="107" spans="1:13" ht="21.75" customHeight="1">
      <c r="A107" s="696"/>
      <c r="B107" s="702">
        <f>'[7]BS'!$W$26-C95</f>
        <v>-0.2200899999588728</v>
      </c>
      <c r="C107" s="703"/>
      <c r="D107" s="703"/>
      <c r="E107" s="703"/>
      <c r="M107" s="98"/>
    </row>
    <row r="108" spans="1:5" ht="21.75" customHeight="1">
      <c r="A108" s="696"/>
      <c r="B108" s="702">
        <f>G95-'[7]BS'!$W$58</f>
        <v>-0.4279499999829568</v>
      </c>
      <c r="C108" s="703"/>
      <c r="D108" s="703"/>
      <c r="E108" s="703"/>
    </row>
    <row r="109" spans="1:13" ht="21.75" customHeight="1">
      <c r="A109" s="696"/>
      <c r="B109" s="702">
        <f>H95-'[3]1-Баланс'!$G$95</f>
        <v>0</v>
      </c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0" sqref="C40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-'[7]PL'!AK10</f>
        <v>23554</v>
      </c>
      <c r="D12" s="316">
        <f>-'[7]PL'!AL10</f>
        <v>18848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-'[7]PL'!AK11</f>
        <v>71392</v>
      </c>
      <c r="D13" s="316">
        <f>-'[7]PL'!AL11</f>
        <v>64603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-'[7]PL'!AK12</f>
        <v>29146</v>
      </c>
      <c r="D14" s="316">
        <f>-'[7]PL'!AL12</f>
        <v>76727</v>
      </c>
      <c r="E14" s="245" t="s">
        <v>285</v>
      </c>
      <c r="F14" s="240" t="s">
        <v>286</v>
      </c>
      <c r="G14" s="316">
        <f>'[7]PL'!AK$5+'[7]PL'!AK$6</f>
        <v>196935</v>
      </c>
      <c r="H14" s="316">
        <f>'[7]PL'!AL$5+'[7]PL'!AL$6</f>
        <v>195638</v>
      </c>
    </row>
    <row r="15" spans="1:8" ht="15.75">
      <c r="A15" s="194" t="s">
        <v>287</v>
      </c>
      <c r="B15" s="190" t="s">
        <v>288</v>
      </c>
      <c r="C15" s="316">
        <f>-'[7]PL'!AK13</f>
        <v>40420</v>
      </c>
      <c r="D15" s="316">
        <f>-'[7]PL'!AL13</f>
        <v>33221</v>
      </c>
      <c r="E15" s="245" t="s">
        <v>79</v>
      </c>
      <c r="F15" s="240" t="s">
        <v>289</v>
      </c>
      <c r="G15" s="316">
        <f>'[7]PL'!AK$7</f>
        <v>46257</v>
      </c>
      <c r="H15" s="316">
        <f>'[7]PL'!AL$7</f>
        <v>38762</v>
      </c>
    </row>
    <row r="16" spans="1:8" ht="15.75">
      <c r="A16" s="194" t="s">
        <v>290</v>
      </c>
      <c r="B16" s="190" t="s">
        <v>291</v>
      </c>
      <c r="C16" s="316">
        <f>-'[7]PL'!AK14</f>
        <v>8693</v>
      </c>
      <c r="D16" s="316">
        <f>-'[7]PL'!AL14</f>
        <v>7863</v>
      </c>
      <c r="E16" s="236" t="s">
        <v>52</v>
      </c>
      <c r="F16" s="264" t="s">
        <v>292</v>
      </c>
      <c r="G16" s="628">
        <f>SUM(G12:G15)</f>
        <v>243192</v>
      </c>
      <c r="H16" s="629">
        <f>SUM(H12:H15)</f>
        <v>234400</v>
      </c>
    </row>
    <row r="17" spans="1:8" ht="31.5">
      <c r="A17" s="194" t="s">
        <v>293</v>
      </c>
      <c r="B17" s="190" t="s">
        <v>294</v>
      </c>
      <c r="C17" s="316"/>
      <c r="D17" s="317">
        <f>'[6]2-Отчет за доходите'!C17</f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f>'[6]2-Отчет за доходите'!C18</f>
        <v>0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-SUM('[7]PL'!AK$15:AK$17)</f>
        <v>12883</v>
      </c>
      <c r="D19" s="316">
        <f>-SUM('[7]PL'!AL$15:AL$17)</f>
        <v>10140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-'[7]PL'!AK$15</f>
        <v>5878</v>
      </c>
      <c r="D20" s="316">
        <f>-'[7]PL'!AL$15</f>
        <v>5553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('[7]NoteBS'!$D$109+'[7]NoteBS'!$D$110+'[7]NoteBS'!$F$109)</f>
        <v>1380.24558</v>
      </c>
      <c r="D21" s="317">
        <f>'[8]NoteBS'!$D$108+'[8]NoteBS'!$D$109+'[8]NoteBS'!$F$108</f>
        <v>412.1689799999999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186088</v>
      </c>
      <c r="D22" s="629">
        <f>SUM(D12:D18)+D19</f>
        <v>211402</v>
      </c>
      <c r="E22" s="194" t="s">
        <v>309</v>
      </c>
      <c r="F22" s="237" t="s">
        <v>310</v>
      </c>
      <c r="G22" s="316">
        <f>ROUND(SUM('[7]NoteP&amp;L'!$C$86)/1000+'[7]NoteP&amp;L'!$C$83/1000,0)</f>
        <v>1080</v>
      </c>
      <c r="H22" s="317">
        <f>'[3]2-Отчет за доходите'!G22</f>
        <v>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f>'[3]2-Отчет за доходите'!G23</f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f>'[3]2-Отчет за доходите'!G24</f>
        <v>0</v>
      </c>
    </row>
    <row r="25" spans="1:8" ht="31.5">
      <c r="A25" s="194" t="s">
        <v>316</v>
      </c>
      <c r="B25" s="237" t="s">
        <v>317</v>
      </c>
      <c r="C25" s="316">
        <f>-ROUND(SUM('[7]NoteP&amp;L'!$C$93:$C$97)/1000,0)</f>
        <v>206</v>
      </c>
      <c r="D25" s="317">
        <f>'[3]2-Отчет за доходите'!$C$25</f>
        <v>108</v>
      </c>
      <c r="E25" s="194" t="s">
        <v>318</v>
      </c>
      <c r="F25" s="237" t="s">
        <v>319</v>
      </c>
      <c r="G25" s="316">
        <f>ROUND('[7]NoteP&amp;L'!$C$87/1000,0)</f>
        <v>0</v>
      </c>
      <c r="H25" s="317">
        <f>'[3]2-Отчет за доходите'!G25</f>
        <v>1</v>
      </c>
    </row>
    <row r="26" spans="1:8" ht="31.5">
      <c r="A26" s="194" t="s">
        <v>320</v>
      </c>
      <c r="B26" s="237" t="s">
        <v>321</v>
      </c>
      <c r="C26" s="316"/>
      <c r="D26" s="317">
        <f>'[6]2-Отчет за доходите'!C26</f>
        <v>0</v>
      </c>
      <c r="E26" s="194" t="s">
        <v>322</v>
      </c>
      <c r="F26" s="237" t="s">
        <v>323</v>
      </c>
      <c r="G26" s="316">
        <f>'[7]NoteP&amp;L'!$C$85/1000</f>
        <v>17.99593</v>
      </c>
      <c r="H26" s="317">
        <f>'[3]2-Отчет за доходите'!G26</f>
        <v>0</v>
      </c>
    </row>
    <row r="27" spans="1:8" ht="31.5">
      <c r="A27" s="194" t="s">
        <v>324</v>
      </c>
      <c r="B27" s="237" t="s">
        <v>325</v>
      </c>
      <c r="C27" s="316">
        <f>-'[7]NoteP&amp;L'!$C$98/1000</f>
        <v>8.293610000000001</v>
      </c>
      <c r="D27" s="317">
        <f>'[3]2-Отчет за доходите'!$C$27</f>
        <v>7</v>
      </c>
      <c r="E27" s="236" t="s">
        <v>104</v>
      </c>
      <c r="F27" s="238" t="s">
        <v>326</v>
      </c>
      <c r="G27" s="628">
        <f>SUM(G22:G26)</f>
        <v>1097.99593</v>
      </c>
      <c r="H27" s="629">
        <f>SUM(H22:H26)</f>
        <v>39</v>
      </c>
    </row>
    <row r="28" spans="1:8" ht="15.75">
      <c r="A28" s="194" t="s">
        <v>79</v>
      </c>
      <c r="B28" s="237" t="s">
        <v>327</v>
      </c>
      <c r="C28" s="316"/>
      <c r="D28" s="317">
        <f>'[3]2-Отчет за доходите'!$C$28</f>
        <v>637.42381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214.29361</v>
      </c>
      <c r="D29" s="629">
        <f>SUM(D25:D28)</f>
        <v>752.42381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186302.29361</v>
      </c>
      <c r="D31" s="635">
        <f>D29+D22</f>
        <v>212154.42381</v>
      </c>
      <c r="E31" s="251" t="s">
        <v>824</v>
      </c>
      <c r="F31" s="266" t="s">
        <v>331</v>
      </c>
      <c r="G31" s="253">
        <f>G16+G18+G27</f>
        <v>244289.99593</v>
      </c>
      <c r="H31" s="254">
        <f>H16+H18+H27</f>
        <v>234439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57987.70232000001</v>
      </c>
      <c r="D33" s="244">
        <f>IF((H31-D31)&gt;0,H31-D31,0)</f>
        <v>22284.576189999992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186302.29361</v>
      </c>
      <c r="D36" s="637">
        <f>D31-D34+D35</f>
        <v>212154.42381</v>
      </c>
      <c r="E36" s="262" t="s">
        <v>346</v>
      </c>
      <c r="F36" s="256" t="s">
        <v>347</v>
      </c>
      <c r="G36" s="267">
        <f>G35-G34+G31</f>
        <v>244289.99593</v>
      </c>
      <c r="H36" s="268">
        <f>H35-H34+H31</f>
        <v>234439</v>
      </c>
    </row>
    <row r="37" spans="1:8" ht="15.75">
      <c r="A37" s="261" t="s">
        <v>348</v>
      </c>
      <c r="B37" s="231" t="s">
        <v>349</v>
      </c>
      <c r="C37" s="634">
        <f>IF((G36-C36)&gt;0,G36-C36,0)</f>
        <v>57987.70232000001</v>
      </c>
      <c r="D37" s="635">
        <f>IF((H36-D36)&gt;0,H36-D36,0)</f>
        <v>22284.576189999992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5868</v>
      </c>
      <c r="D38" s="629">
        <f>D39+D40+D41</f>
        <v>2161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ROUND('[7]IAS'!$F$114/1000,0)</f>
        <v>5250</v>
      </c>
      <c r="D39" s="317">
        <f>'[3]2-Отчет за доходите'!$C39</f>
        <v>2816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ROUND('[7]IAS'!$F$116/1000,0)-1</f>
        <v>618</v>
      </c>
      <c r="D40" s="317">
        <f>'[3]2-Отчет за доходите'!$C40</f>
        <v>-655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52119.70232000001</v>
      </c>
      <c r="D42" s="244">
        <f>+IF((H36-D36-D38)&gt;0,H36-D36-D38,0)</f>
        <v>20123.576189999992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52119.70232000001</v>
      </c>
      <c r="D44" s="268">
        <f>IF(H42=0,IF(D42-D43&gt;0,D42-D43+H43,0),IF(H42-H43&lt;0,H43-H42+D42,0))</f>
        <v>20123.576189999992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244289.99593</v>
      </c>
      <c r="D45" s="631">
        <f>D36+D38+D42</f>
        <v>234439</v>
      </c>
      <c r="E45" s="270" t="s">
        <v>373</v>
      </c>
      <c r="F45" s="272" t="s">
        <v>374</v>
      </c>
      <c r="G45" s="630">
        <f>G42+G36</f>
        <v>244289.99593</v>
      </c>
      <c r="H45" s="631">
        <f>H42+H36</f>
        <v>234439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976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4">
        <f>pdeReportingDate</f>
        <v>45380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Анелия Илиева Илиева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tr">
        <f>'1-Баланс'!B103</f>
        <v>Васил Борисов Тренев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2">
        <f>C45-G45</f>
        <v>0</v>
      </c>
      <c r="C58" s="703"/>
      <c r="D58" s="703"/>
      <c r="E58" s="703"/>
      <c r="F58" s="574"/>
      <c r="G58" s="45"/>
      <c r="H58" s="42"/>
    </row>
    <row r="59" spans="1:8" ht="15.75">
      <c r="A59" s="696"/>
      <c r="B59" s="702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64" sqref="B64:E64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'[2]Cash Flow LBE 2016'!$Q$12</f>
        <v>232237</v>
      </c>
      <c r="D11" s="196">
        <f>'[3]3-Отчет за паричния поток'!C11</f>
        <v>233422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>
        <f>'[3]3-Отчет за паричния поток'!C12</f>
        <v>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f>'[3]3-Отчет за паричния поток'!C13</f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'[2]Cash Flow LBE 2016'!$Q$14</f>
        <v>-44042</v>
      </c>
      <c r="D14" s="196">
        <f>'[3]3-Отчет за паричния поток'!C14</f>
        <v>-39861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SUM('[2]Cash Flow LBE 2016'!$Q$37:$Q$38)</f>
        <v>-19623</v>
      </c>
      <c r="D15" s="196">
        <f>'[3]3-Отчет за паричния поток'!C15</f>
        <v>-21937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'[2]Cash Flow LBE 2016'!$Q$36</f>
        <v>-4476</v>
      </c>
      <c r="D16" s="196">
        <f>'[3]3-Отчет за паричния поток'!C16</f>
        <v>-3236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f>'[3]3-Отчет за паричния поток'!C17</f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f>'[3]3-Отчет за паричния поток'!C18</f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f>'[3]3-Отчет за паричния поток'!C19</f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SUM('[2]Cash Flow LBE 2016'!$Q$15:$Q$22)+'[2]Cash Flow LBE 2016'!$Q$30-3</f>
        <v>-89170.27420166667</v>
      </c>
      <c r="D20" s="196">
        <f>'[3]3-Отчет за паричния поток'!C20</f>
        <v>-78087.620692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74925.72579833333</v>
      </c>
      <c r="D21" s="659">
        <f>SUM(D11:D20)</f>
        <v>90300.379308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ROUND('[2]Cash Flow LBE 2016'!$Q$34,0)</f>
        <v>-45185</v>
      </c>
      <c r="D23" s="196">
        <f>'[3]3-Отчет за паричния поток'!$C$23</f>
        <v>-31339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-45185</v>
      </c>
      <c r="D33" s="659">
        <f>SUM(D23:D32)</f>
        <v>-31339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f>'[3]3-Отчет за паричния поток'!C37</f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ROUND('[2]Cash Flow LBE 2016'!$Q$49,0)</f>
        <v>0</v>
      </c>
      <c r="D38" s="196">
        <f>'[3]3-Отчет за паричния поток'!C38</f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ROUND('[2]Cash Flow LBE 2016'!$Q$47,0)</f>
        <v>0</v>
      </c>
      <c r="D39" s="196">
        <f>'[3]3-Отчет за паричния поток'!C39</f>
        <v>-243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ROUND('[2]Cash Flow LBE 2016'!$Q$41,0)+'[2]Cash Flow LBE 2016'!$Q$44</f>
        <v>1080</v>
      </c>
      <c r="D40" s="196">
        <f>'[3]3-Отчет за паричния поток'!C40</f>
        <v>3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f>'[2]Cash Flow LBE 2016'!$Q$51</f>
        <v>-19923.31462</v>
      </c>
      <c r="D41" s="196">
        <f>'[3]3-Отчет за паричния поток'!C41</f>
        <v>-39042.53394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f>'[3]3-Отчет за паричния поток'!C42</f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-18843.31462</v>
      </c>
      <c r="D43" s="661">
        <f>SUM(D35:D42)</f>
        <v>-39282.53394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10897.411178333321</v>
      </c>
      <c r="D44" s="307">
        <f>D43+D33+D21</f>
        <v>19678.84536800001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'[3]3-Отчет за паричния поток'!$C$46</f>
        <v>99619.84536800001</v>
      </c>
      <c r="D45" s="309">
        <f>'[3]3-Отчет за паричния поток'!$C$45</f>
        <v>79941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110517.25654633333</v>
      </c>
      <c r="D46" s="311">
        <f>D45+D44</f>
        <v>99619.84536800001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C46-C48</f>
        <v>47048.24806633333</v>
      </c>
      <c r="D47" s="298">
        <f>D46-D48</f>
        <v>97421.84536800001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'1-Баланс'!C90</f>
        <v>63469.00848</v>
      </c>
      <c r="D48" s="281">
        <v>2198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8" t="s">
        <v>972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4">
        <f>pdeReportingDate</f>
        <v>45380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Анелия Илиева Илиева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6"/>
      <c r="B59" s="703" t="str">
        <f>'2-Отчет за доходите'!B55</f>
        <v>Васил Борисов Тренев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696"/>
      <c r="B62" s="703"/>
      <c r="C62" s="703"/>
      <c r="D62" s="703"/>
      <c r="E62" s="703"/>
      <c r="F62" s="574"/>
      <c r="G62" s="45"/>
      <c r="H62" s="42"/>
    </row>
    <row r="63" spans="1:8" ht="15.75">
      <c r="A63" s="696"/>
      <c r="B63" s="702">
        <f>D46-'[3]3-Отчет за паричния поток'!$C$46</f>
        <v>0</v>
      </c>
      <c r="C63" s="703"/>
      <c r="D63" s="703"/>
      <c r="E63" s="703"/>
      <c r="F63" s="574"/>
      <c r="G63" s="45"/>
      <c r="H63" s="42"/>
    </row>
    <row r="64" spans="1:8" ht="15.75">
      <c r="A64" s="696"/>
      <c r="B64" s="702">
        <f>C46-'[2]Cash Flow LBE 2016'!$Q$56</f>
        <v>-3.154631999976118</v>
      </c>
      <c r="C64" s="703"/>
      <c r="D64" s="703"/>
      <c r="E64" s="703"/>
      <c r="F64" s="574"/>
      <c r="G64" s="45"/>
      <c r="H64" s="42"/>
    </row>
    <row r="65" spans="1:8" ht="15.75">
      <c r="A65" s="701">
        <f>D46-'1-Баланс'!D92</f>
        <v>0.17825800001446623</v>
      </c>
      <c r="B65" s="702">
        <f>C46-'1-Баланс'!C92</f>
        <v>0.24806633334083017</v>
      </c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E28" sqref="E28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8884</v>
      </c>
      <c r="D13" s="584">
        <f>'1-Баланс'!H20</f>
        <v>0</v>
      </c>
      <c r="E13" s="584">
        <f>'1-Баланс'!H21</f>
        <v>-335</v>
      </c>
      <c r="F13" s="584">
        <f>'1-Баланс'!H23</f>
        <v>10774</v>
      </c>
      <c r="G13" s="584">
        <f>'1-Баланс'!H24</f>
        <v>0</v>
      </c>
      <c r="H13" s="585"/>
      <c r="I13" s="584">
        <f>'1-Баланс'!H29+'1-Баланс'!H32</f>
        <v>295730.88428</v>
      </c>
      <c r="J13" s="584">
        <f>'1-Баланс'!H30+'1-Баланс'!H33</f>
        <v>0</v>
      </c>
      <c r="K13" s="585"/>
      <c r="L13" s="584">
        <f>SUM(C13:K13)</f>
        <v>315053.88428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8884</v>
      </c>
      <c r="D17" s="653">
        <f aca="true" t="shared" si="2" ref="D17:M17">D13+D14</f>
        <v>0</v>
      </c>
      <c r="E17" s="653">
        <f t="shared" si="2"/>
        <v>-335</v>
      </c>
      <c r="F17" s="653">
        <f t="shared" si="2"/>
        <v>10774</v>
      </c>
      <c r="G17" s="653">
        <f t="shared" si="2"/>
        <v>0</v>
      </c>
      <c r="H17" s="653">
        <f t="shared" si="2"/>
        <v>0</v>
      </c>
      <c r="I17" s="653">
        <f t="shared" si="2"/>
        <v>295730.88428</v>
      </c>
      <c r="J17" s="653">
        <f t="shared" si="2"/>
        <v>0</v>
      </c>
      <c r="K17" s="653">
        <f t="shared" si="2"/>
        <v>0</v>
      </c>
      <c r="L17" s="584">
        <f t="shared" si="1"/>
        <v>315053.88428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52120</v>
      </c>
      <c r="J18" s="584">
        <f>+'1-Баланс'!G33</f>
        <v>0</v>
      </c>
      <c r="K18" s="585"/>
      <c r="L18" s="584">
        <f t="shared" si="1"/>
        <v>52120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-19923.31223</v>
      </c>
      <c r="J19" s="168">
        <f>J20+J21</f>
        <v>0</v>
      </c>
      <c r="K19" s="168">
        <f t="shared" si="3"/>
        <v>0</v>
      </c>
      <c r="L19" s="584">
        <f t="shared" si="1"/>
        <v>-19923.31223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f>'[7]SCE'!$E$8</f>
        <v>-19923.31223</v>
      </c>
      <c r="J20" s="316"/>
      <c r="K20" s="316"/>
      <c r="L20" s="584">
        <f>SUM(C20:K20)</f>
        <v>-19923.31223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-50.531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-50.531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f>-'[7]S4'!$G$4/1000</f>
        <v>-50.531</v>
      </c>
      <c r="F27" s="316"/>
      <c r="G27" s="316"/>
      <c r="H27" s="316"/>
      <c r="I27" s="316"/>
      <c r="J27" s="316"/>
      <c r="K27" s="316"/>
      <c r="L27" s="584">
        <f t="shared" si="1"/>
        <v>-50.531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8884</v>
      </c>
      <c r="D31" s="653">
        <f aca="true" t="shared" si="6" ref="D31:M31">D19+D22+D23+D26+D30+D29+D17+D18</f>
        <v>0</v>
      </c>
      <c r="E31" s="653">
        <f t="shared" si="6"/>
        <v>-385.531</v>
      </c>
      <c r="F31" s="653">
        <f t="shared" si="6"/>
        <v>10774</v>
      </c>
      <c r="G31" s="653">
        <f t="shared" si="6"/>
        <v>0</v>
      </c>
      <c r="H31" s="653">
        <f t="shared" si="6"/>
        <v>0</v>
      </c>
      <c r="I31" s="653">
        <f t="shared" si="6"/>
        <v>327927.57205</v>
      </c>
      <c r="J31" s="653">
        <f t="shared" si="6"/>
        <v>0</v>
      </c>
      <c r="K31" s="653">
        <f t="shared" si="6"/>
        <v>0</v>
      </c>
      <c r="L31" s="584">
        <f t="shared" si="1"/>
        <v>347200.04105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8884</v>
      </c>
      <c r="D34" s="587">
        <f t="shared" si="7"/>
        <v>0</v>
      </c>
      <c r="E34" s="587">
        <f t="shared" si="7"/>
        <v>-385.531</v>
      </c>
      <c r="F34" s="587">
        <f t="shared" si="7"/>
        <v>10774</v>
      </c>
      <c r="G34" s="587">
        <f t="shared" si="7"/>
        <v>0</v>
      </c>
      <c r="H34" s="587">
        <f t="shared" si="7"/>
        <v>0</v>
      </c>
      <c r="I34" s="587">
        <f t="shared" si="7"/>
        <v>327927.57205</v>
      </c>
      <c r="J34" s="587">
        <f t="shared" si="7"/>
        <v>0</v>
      </c>
      <c r="K34" s="587">
        <f t="shared" si="7"/>
        <v>0</v>
      </c>
      <c r="L34" s="651">
        <f t="shared" si="1"/>
        <v>347200.04105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4">
        <f>pdeReportingDate</f>
        <v>45380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Анелия Илиева Илиева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6"/>
      <c r="B43" s="703" t="str">
        <f>'3-Отчет за паричния поток'!B59</f>
        <v>Васил Борисов Тренев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 customHeight="1">
      <c r="A46" s="696"/>
      <c r="B46" s="702">
        <f>L34-'1-Баланс'!G37</f>
        <v>0.46899999998277053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B12" sqref="B12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4">
        <f>pdeReportingDate</f>
        <v>45380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Анелия Илиева Илиева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6"/>
      <c r="B156" s="703" t="str">
        <f>'4-Отчет за собствения капитал'!B43</f>
        <v>Васил Борисов Тренев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E31" sqref="E31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185</v>
      </c>
      <c r="E11" s="328">
        <v>0</v>
      </c>
      <c r="F11" s="328">
        <v>0</v>
      </c>
      <c r="G11" s="329">
        <f>D11+E11-F11</f>
        <v>185</v>
      </c>
      <c r="H11" s="328"/>
      <c r="I11" s="328"/>
      <c r="J11" s="329">
        <f>G11+H11-I11</f>
        <v>185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6233</v>
      </c>
      <c r="E12" s="328">
        <v>1732</v>
      </c>
      <c r="F12" s="328">
        <v>0</v>
      </c>
      <c r="G12" s="329">
        <f aca="true" t="shared" si="2" ref="G12:G42">D12+E12-F12</f>
        <v>7965</v>
      </c>
      <c r="H12" s="328"/>
      <c r="I12" s="328"/>
      <c r="J12" s="329">
        <f aca="true" t="shared" si="3" ref="J12:J42">G12+H12-I12</f>
        <v>7965</v>
      </c>
      <c r="K12" s="328">
        <v>4603</v>
      </c>
      <c r="L12" s="328">
        <v>1610</v>
      </c>
      <c r="M12" s="328">
        <v>0</v>
      </c>
      <c r="N12" s="329">
        <f aca="true" t="shared" si="4" ref="N12:N42">K12+L12-M12</f>
        <v>6213</v>
      </c>
      <c r="O12" s="328"/>
      <c r="P12" s="328"/>
      <c r="Q12" s="329">
        <f t="shared" si="0"/>
        <v>6213</v>
      </c>
      <c r="R12" s="340">
        <f t="shared" si="1"/>
        <v>1752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44437</v>
      </c>
      <c r="E13" s="328">
        <v>2593</v>
      </c>
      <c r="F13" s="328">
        <v>1115</v>
      </c>
      <c r="G13" s="329">
        <f t="shared" si="2"/>
        <v>45915</v>
      </c>
      <c r="H13" s="328"/>
      <c r="I13" s="328"/>
      <c r="J13" s="329">
        <f t="shared" si="3"/>
        <v>45915</v>
      </c>
      <c r="K13" s="328">
        <v>34625</v>
      </c>
      <c r="L13" s="328">
        <v>2931</v>
      </c>
      <c r="M13" s="328">
        <v>1090</v>
      </c>
      <c r="N13" s="329">
        <f t="shared" si="4"/>
        <v>36466</v>
      </c>
      <c r="O13" s="328"/>
      <c r="P13" s="328"/>
      <c r="Q13" s="329">
        <f t="shared" si="0"/>
        <v>36466</v>
      </c>
      <c r="R13" s="340">
        <f t="shared" si="1"/>
        <v>9449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22810</v>
      </c>
      <c r="E15" s="328">
        <v>1706</v>
      </c>
      <c r="F15" s="328">
        <v>145</v>
      </c>
      <c r="G15" s="329">
        <f t="shared" si="2"/>
        <v>24371</v>
      </c>
      <c r="H15" s="328"/>
      <c r="I15" s="328"/>
      <c r="J15" s="329">
        <f t="shared" si="3"/>
        <v>24371</v>
      </c>
      <c r="K15" s="328">
        <v>16169</v>
      </c>
      <c r="L15" s="328">
        <v>1464</v>
      </c>
      <c r="M15" s="328">
        <v>144</v>
      </c>
      <c r="N15" s="329">
        <f t="shared" si="4"/>
        <v>17489</v>
      </c>
      <c r="O15" s="328"/>
      <c r="P15" s="328"/>
      <c r="Q15" s="329">
        <f t="shared" si="0"/>
        <v>17489</v>
      </c>
      <c r="R15" s="340">
        <f t="shared" si="1"/>
        <v>6882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0</v>
      </c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>
        <v>0</v>
      </c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4326</v>
      </c>
      <c r="F17" s="328">
        <v>4326</v>
      </c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3020</v>
      </c>
      <c r="E18" s="328">
        <v>28</v>
      </c>
      <c r="F18" s="328">
        <v>0</v>
      </c>
      <c r="G18" s="329">
        <f t="shared" si="2"/>
        <v>3048</v>
      </c>
      <c r="H18" s="328"/>
      <c r="I18" s="328"/>
      <c r="J18" s="329">
        <f t="shared" si="3"/>
        <v>3048</v>
      </c>
      <c r="K18" s="328">
        <v>1696</v>
      </c>
      <c r="L18" s="328">
        <v>195</v>
      </c>
      <c r="M18" s="328">
        <v>0</v>
      </c>
      <c r="N18" s="329">
        <f t="shared" si="4"/>
        <v>1891</v>
      </c>
      <c r="O18" s="328"/>
      <c r="P18" s="328"/>
      <c r="Q18" s="329">
        <f t="shared" si="0"/>
        <v>1891</v>
      </c>
      <c r="R18" s="340">
        <f t="shared" si="1"/>
        <v>1157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76685</v>
      </c>
      <c r="E19" s="330">
        <f>SUM(E11:E18)</f>
        <v>10385</v>
      </c>
      <c r="F19" s="330">
        <f>SUM(F11:F18)</f>
        <v>5586</v>
      </c>
      <c r="G19" s="329">
        <f t="shared" si="2"/>
        <v>81484</v>
      </c>
      <c r="H19" s="330">
        <f>SUM(H11:H18)</f>
        <v>0</v>
      </c>
      <c r="I19" s="330">
        <f>SUM(I11:I18)</f>
        <v>0</v>
      </c>
      <c r="J19" s="329">
        <f t="shared" si="3"/>
        <v>81484</v>
      </c>
      <c r="K19" s="330">
        <f>SUM(K11:K18)</f>
        <v>57093</v>
      </c>
      <c r="L19" s="330">
        <f>SUM(L11:L18)</f>
        <v>6200</v>
      </c>
      <c r="M19" s="330">
        <f>SUM(M11:M18)</f>
        <v>1234</v>
      </c>
      <c r="N19" s="329">
        <f t="shared" si="4"/>
        <v>62059</v>
      </c>
      <c r="O19" s="330">
        <f>SUM(O11:O18)</f>
        <v>0</v>
      </c>
      <c r="P19" s="330">
        <f>SUM(P11:P18)</f>
        <v>0</v>
      </c>
      <c r="Q19" s="329">
        <f t="shared" si="0"/>
        <v>62059</v>
      </c>
      <c r="R19" s="340">
        <f t="shared" si="1"/>
        <v>19425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0</v>
      </c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>
        <v>0</v>
      </c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25571</v>
      </c>
      <c r="E25" s="328">
        <v>1043</v>
      </c>
      <c r="F25" s="328"/>
      <c r="G25" s="329">
        <f t="shared" si="2"/>
        <v>26614</v>
      </c>
      <c r="H25" s="328"/>
      <c r="I25" s="328"/>
      <c r="J25" s="329">
        <f t="shared" si="3"/>
        <v>26614</v>
      </c>
      <c r="K25" s="328">
        <v>20145</v>
      </c>
      <c r="L25" s="328">
        <v>998</v>
      </c>
      <c r="M25" s="328"/>
      <c r="N25" s="329">
        <f t="shared" si="4"/>
        <v>21143</v>
      </c>
      <c r="O25" s="328"/>
      <c r="P25" s="328"/>
      <c r="Q25" s="329">
        <f t="shared" si="0"/>
        <v>21143</v>
      </c>
      <c r="R25" s="340">
        <f t="shared" si="1"/>
        <v>5471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21041</v>
      </c>
      <c r="E26" s="328"/>
      <c r="F26" s="328"/>
      <c r="G26" s="329">
        <f t="shared" si="2"/>
        <v>21041</v>
      </c>
      <c r="H26" s="328"/>
      <c r="I26" s="328"/>
      <c r="J26" s="329">
        <f t="shared" si="3"/>
        <v>21041</v>
      </c>
      <c r="K26" s="328">
        <v>21039</v>
      </c>
      <c r="L26" s="328">
        <v>1</v>
      </c>
      <c r="M26" s="328"/>
      <c r="N26" s="329">
        <f t="shared" si="4"/>
        <v>21040</v>
      </c>
      <c r="O26" s="328"/>
      <c r="P26" s="328"/>
      <c r="Q26" s="329">
        <f t="shared" si="0"/>
        <v>21040</v>
      </c>
      <c r="R26" s="340">
        <f t="shared" si="1"/>
        <v>1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684112</v>
      </c>
      <c r="E27" s="328">
        <v>81444</v>
      </c>
      <c r="F27" s="328">
        <v>35188</v>
      </c>
      <c r="G27" s="329">
        <f t="shared" si="2"/>
        <v>730368</v>
      </c>
      <c r="H27" s="328"/>
      <c r="I27" s="328"/>
      <c r="J27" s="329">
        <f t="shared" si="3"/>
        <v>730368</v>
      </c>
      <c r="K27" s="328">
        <v>476591</v>
      </c>
      <c r="L27" s="328">
        <v>21947</v>
      </c>
      <c r="M27" s="328">
        <v>0</v>
      </c>
      <c r="N27" s="329">
        <f t="shared" si="4"/>
        <v>498538</v>
      </c>
      <c r="O27" s="328"/>
      <c r="P27" s="328"/>
      <c r="Q27" s="329">
        <f t="shared" si="0"/>
        <v>498538</v>
      </c>
      <c r="R27" s="340">
        <f t="shared" si="1"/>
        <v>231830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730724</v>
      </c>
      <c r="E28" s="332">
        <f aca="true" t="shared" si="5" ref="E28:P28">SUM(E24:E27)</f>
        <v>82487</v>
      </c>
      <c r="F28" s="332">
        <f t="shared" si="5"/>
        <v>35188</v>
      </c>
      <c r="G28" s="333">
        <f t="shared" si="2"/>
        <v>778023</v>
      </c>
      <c r="H28" s="332">
        <f t="shared" si="5"/>
        <v>0</v>
      </c>
      <c r="I28" s="332">
        <f t="shared" si="5"/>
        <v>0</v>
      </c>
      <c r="J28" s="333">
        <f t="shared" si="3"/>
        <v>778023</v>
      </c>
      <c r="K28" s="332">
        <f t="shared" si="5"/>
        <v>517775</v>
      </c>
      <c r="L28" s="332">
        <f t="shared" si="5"/>
        <v>22946</v>
      </c>
      <c r="M28" s="332">
        <f t="shared" si="5"/>
        <v>0</v>
      </c>
      <c r="N28" s="333">
        <f t="shared" si="4"/>
        <v>540721</v>
      </c>
      <c r="O28" s="332">
        <f t="shared" si="5"/>
        <v>0</v>
      </c>
      <c r="P28" s="332">
        <f t="shared" si="5"/>
        <v>0</v>
      </c>
      <c r="Q28" s="333">
        <f t="shared" si="0"/>
        <v>540721</v>
      </c>
      <c r="R28" s="343">
        <f t="shared" si="1"/>
        <v>237302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5</v>
      </c>
      <c r="H30" s="335">
        <f t="shared" si="6"/>
        <v>0</v>
      </c>
      <c r="I30" s="335">
        <f t="shared" si="6"/>
        <v>0</v>
      </c>
      <c r="J30" s="336">
        <f t="shared" si="3"/>
        <v>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5</v>
      </c>
    </row>
    <row r="31" spans="1:18" ht="15.75">
      <c r="A31" s="339"/>
      <c r="B31" s="321" t="s">
        <v>108</v>
      </c>
      <c r="C31" s="152" t="s">
        <v>563</v>
      </c>
      <c r="D31" s="328">
        <v>5</v>
      </c>
      <c r="E31" s="328"/>
      <c r="F31" s="328"/>
      <c r="G31" s="329">
        <f t="shared" si="2"/>
        <v>5</v>
      </c>
      <c r="H31" s="328"/>
      <c r="I31" s="328"/>
      <c r="J31" s="329">
        <f t="shared" si="3"/>
        <v>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5</v>
      </c>
      <c r="H41" s="330">
        <f t="shared" si="10"/>
        <v>0</v>
      </c>
      <c r="I41" s="330">
        <f t="shared" si="10"/>
        <v>0</v>
      </c>
      <c r="J41" s="329">
        <f t="shared" si="3"/>
        <v>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5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7393</v>
      </c>
      <c r="E42" s="328"/>
      <c r="F42" s="328"/>
      <c r="G42" s="329">
        <f t="shared" si="2"/>
        <v>7393</v>
      </c>
      <c r="H42" s="328"/>
      <c r="I42" s="328"/>
      <c r="J42" s="329">
        <f t="shared" si="3"/>
        <v>7393</v>
      </c>
      <c r="K42" s="328">
        <v>7393</v>
      </c>
      <c r="L42" s="328"/>
      <c r="M42" s="328"/>
      <c r="N42" s="329">
        <f t="shared" si="4"/>
        <v>7393</v>
      </c>
      <c r="O42" s="328"/>
      <c r="P42" s="328"/>
      <c r="Q42" s="329">
        <f t="shared" si="7"/>
        <v>7393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814807</v>
      </c>
      <c r="E43" s="349">
        <f>E19+E20+E22+E28+E41+E42</f>
        <v>92872</v>
      </c>
      <c r="F43" s="349">
        <f aca="true" t="shared" si="11" ref="F43:R43">F19+F20+F22+F28+F41+F42</f>
        <v>40774</v>
      </c>
      <c r="G43" s="349">
        <f t="shared" si="11"/>
        <v>866905</v>
      </c>
      <c r="H43" s="349">
        <f t="shared" si="11"/>
        <v>0</v>
      </c>
      <c r="I43" s="349">
        <f t="shared" si="11"/>
        <v>0</v>
      </c>
      <c r="J43" s="349">
        <f t="shared" si="11"/>
        <v>866905</v>
      </c>
      <c r="K43" s="349">
        <f t="shared" si="11"/>
        <v>582261</v>
      </c>
      <c r="L43" s="349">
        <f t="shared" si="11"/>
        <v>29146</v>
      </c>
      <c r="M43" s="349">
        <f t="shared" si="11"/>
        <v>1234</v>
      </c>
      <c r="N43" s="349">
        <f t="shared" si="11"/>
        <v>610173</v>
      </c>
      <c r="O43" s="349">
        <f t="shared" si="11"/>
        <v>0</v>
      </c>
      <c r="P43" s="349">
        <f t="shared" si="11"/>
        <v>0</v>
      </c>
      <c r="Q43" s="349">
        <f t="shared" si="11"/>
        <v>610173</v>
      </c>
      <c r="R43" s="350">
        <f t="shared" si="11"/>
        <v>256732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4">
        <f>pdeReportingDate</f>
        <v>45380</v>
      </c>
      <c r="D46" s="704"/>
      <c r="E46" s="704"/>
      <c r="F46" s="704"/>
      <c r="G46" s="704"/>
      <c r="H46" s="704"/>
      <c r="I46" s="704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5" t="str">
        <f>authorName</f>
        <v>Анелия Илиева Илиева</v>
      </c>
      <c r="D48" s="705"/>
      <c r="E48" s="705"/>
      <c r="F48" s="705"/>
      <c r="G48" s="705"/>
      <c r="H48" s="705"/>
      <c r="I48" s="705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6"/>
      <c r="D50" s="706"/>
      <c r="E50" s="706"/>
      <c r="F50" s="706"/>
      <c r="G50" s="706"/>
      <c r="H50" s="706"/>
      <c r="I50" s="706"/>
    </row>
    <row r="51" spans="2:9" ht="15.75">
      <c r="B51" s="696"/>
      <c r="C51" s="703" t="str">
        <f>'Справка 5'!B156</f>
        <v>Васил Борисов Тренев</v>
      </c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20">
        <f>D43-'[5]Справка 6'!$G$43</f>
        <v>5</v>
      </c>
      <c r="D54" s="703"/>
      <c r="E54" s="703"/>
      <c r="F54" s="703"/>
      <c r="G54" s="574"/>
      <c r="H54" s="45"/>
      <c r="I54" s="42"/>
    </row>
    <row r="55" spans="2:9" ht="15.75">
      <c r="B55" s="696"/>
      <c r="C55" s="720">
        <f>K43-'[5]Справка 6'!$N$43</f>
        <v>0</v>
      </c>
      <c r="D55" s="703"/>
      <c r="E55" s="703"/>
      <c r="F55" s="703"/>
      <c r="G55" s="574"/>
      <c r="H55" s="45"/>
      <c r="I55" s="42"/>
    </row>
    <row r="56" spans="2:9" ht="15.75">
      <c r="B56" s="696"/>
      <c r="C56" s="702">
        <f>D19-K19-'1-Баланс'!D20</f>
        <v>0</v>
      </c>
      <c r="D56" s="703"/>
      <c r="E56" s="703"/>
      <c r="F56" s="703"/>
      <c r="G56" s="574"/>
      <c r="H56" s="45"/>
      <c r="I56" s="42"/>
    </row>
    <row r="57" spans="2:9" ht="15.75">
      <c r="B57" s="696"/>
      <c r="C57" s="702">
        <f>D28-K28-'1-Баланс'!D28</f>
        <v>0</v>
      </c>
      <c r="D57" s="703"/>
      <c r="E57" s="703"/>
      <c r="F57" s="703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9">
      <selection activeCell="D107" sqref="D107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104.21160999999987</v>
      </c>
      <c r="D18" s="362">
        <f>+D19+D20</f>
        <v>0</v>
      </c>
      <c r="E18" s="369">
        <f t="shared" si="0"/>
        <v>104.21160999999987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f>'1-Баланс'!C51</f>
        <v>104.21160999999987</v>
      </c>
      <c r="D20" s="368"/>
      <c r="E20" s="369">
        <f t="shared" si="0"/>
        <v>104.21160999999987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104.21160999999987</v>
      </c>
      <c r="D21" s="440">
        <f>D13+D17+D18</f>
        <v>0</v>
      </c>
      <c r="E21" s="441">
        <f>E13+E17+E18</f>
        <v>104.21160999999987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'1-Баланс'!C55</f>
        <v>10387</v>
      </c>
      <c r="D23" s="443"/>
      <c r="E23" s="442">
        <f t="shared" si="0"/>
        <v>10387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74</v>
      </c>
      <c r="D26" s="362">
        <f>SUM(D27:D29)</f>
        <v>74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74</v>
      </c>
      <c r="D29" s="368">
        <f>C29</f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45780</v>
      </c>
      <c r="D30" s="368">
        <f>C30</f>
        <v>45780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36</v>
      </c>
      <c r="D35" s="362">
        <f>SUM(D36:D39)</f>
        <v>36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36</v>
      </c>
      <c r="D37" s="368">
        <f>C37</f>
        <v>36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0</v>
      </c>
      <c r="D44" s="368">
        <f>C44</f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45890</v>
      </c>
      <c r="D45" s="438">
        <f>D26+D30+D31+D33+D32+D34+D35+D40</f>
        <v>45890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56381.21161</v>
      </c>
      <c r="D46" s="444">
        <f>D45+D23+D21+D11</f>
        <v>45890</v>
      </c>
      <c r="E46" s="445">
        <f>E45+E23+E21+E11</f>
        <v>10491.21161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'1-Баланс'!G49+'[7]BS'!$W$46</f>
        <v>7947</v>
      </c>
      <c r="D66" s="197">
        <f>D67</f>
        <v>544</v>
      </c>
      <c r="E66" s="136">
        <f t="shared" si="1"/>
        <v>7403</v>
      </c>
      <c r="F66" s="196"/>
    </row>
    <row r="67" spans="1:6" ht="15.75">
      <c r="A67" s="370" t="s">
        <v>684</v>
      </c>
      <c r="B67" s="135" t="s">
        <v>685</v>
      </c>
      <c r="C67" s="197">
        <f>'[7]BS'!$W$38+'[7]BS'!$W$46</f>
        <v>1762</v>
      </c>
      <c r="D67" s="197">
        <f>'[7]BS'!$W$46</f>
        <v>544</v>
      </c>
      <c r="E67" s="136">
        <f t="shared" si="1"/>
        <v>1218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7947</v>
      </c>
      <c r="D68" s="435">
        <f>D54+D58+D63+D64+D65+D66</f>
        <v>544</v>
      </c>
      <c r="E68" s="436">
        <f t="shared" si="1"/>
        <v>7403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3651</v>
      </c>
      <c r="D73" s="137">
        <f>SUM(D74:D76)</f>
        <v>3651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3651</v>
      </c>
      <c r="D76" s="197">
        <f>C76</f>
        <v>3651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58050.8</v>
      </c>
      <c r="D87" s="134">
        <f>SUM(D88:D92)+D96</f>
        <v>58050.8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'1-Баланс'!G64-0.2</f>
        <v>45834.8</v>
      </c>
      <c r="D89" s="197">
        <f>C89</f>
        <v>45834.8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10493</v>
      </c>
      <c r="D91" s="197">
        <f>C91</f>
        <v>10493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251</v>
      </c>
      <c r="D92" s="138">
        <f>SUM(D93:D95)</f>
        <v>251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ROUND('[7]NoteBS'!$E$66,0)</f>
        <v>60</v>
      </c>
      <c r="D94" s="197">
        <f>C94</f>
        <v>60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ROUND('[7]NoteBS'!$E$67,0)+'[7]BS'!$W$49</f>
        <v>191</v>
      </c>
      <c r="D95" s="197">
        <f>C95</f>
        <v>191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1472</v>
      </c>
      <c r="D96" s="197">
        <f>C96</f>
        <v>1472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6677</v>
      </c>
      <c r="D97" s="197">
        <f>C97</f>
        <v>6677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68378.8</v>
      </c>
      <c r="D98" s="433">
        <f>D87+D82+D77+D73+D97</f>
        <v>68378.8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76325.8</v>
      </c>
      <c r="D99" s="427">
        <f>D98+D70+D68</f>
        <v>68922.8</v>
      </c>
      <c r="E99" s="427">
        <f>E98+E70+E68</f>
        <v>7403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f>'[3]Справка 7'!$F$104</f>
        <v>1789.35</v>
      </c>
      <c r="D104" s="216">
        <f>ROUND('[7]NoteBS'!$D$109,0)</f>
        <v>1682</v>
      </c>
      <c r="E104" s="216">
        <f>ROUND(-'[7]NoteBS'!$F$109,0)</f>
        <v>503</v>
      </c>
      <c r="F104" s="421">
        <f>C104+D104-E104</f>
        <v>2968.35</v>
      </c>
    </row>
    <row r="105" spans="1:6" ht="15.75">
      <c r="A105" s="370" t="s">
        <v>748</v>
      </c>
      <c r="B105" s="135" t="s">
        <v>749</v>
      </c>
      <c r="C105" s="197">
        <f>'[3]Справка 7'!$F$105</f>
        <v>0</v>
      </c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f>'[3]Справка 7'!$F$106</f>
        <v>2193.15</v>
      </c>
      <c r="D106" s="280">
        <f>ROUND('[7]NoteBS'!$D$110,0)+0.5</f>
        <v>201.5</v>
      </c>
      <c r="E106" s="280"/>
      <c r="F106" s="423">
        <f>C106+D106-E106</f>
        <v>2394.65</v>
      </c>
    </row>
    <row r="107" spans="1:6" ht="16.5" thickBot="1">
      <c r="A107" s="418" t="s">
        <v>752</v>
      </c>
      <c r="B107" s="424" t="s">
        <v>753</v>
      </c>
      <c r="C107" s="425">
        <f>SUM(C104:C106)</f>
        <v>3982.5</v>
      </c>
      <c r="D107" s="425">
        <f>SUM(D104:D106)</f>
        <v>1883.5</v>
      </c>
      <c r="E107" s="425">
        <f>SUM(E104:E106)</f>
        <v>503</v>
      </c>
      <c r="F107" s="426">
        <f>SUM(F104:F106)</f>
        <v>5363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4">
        <f>pdeReportingDate</f>
        <v>45380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Анелия Илиева Илиева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tr">
        <f>'Справка 6'!C51</f>
        <v>Васил Борисов Тренев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20">
        <f>D99+F107</f>
        <v>74285.8</v>
      </c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2">
        <f>'1-Баланс'!G79</f>
        <v>74286</v>
      </c>
      <c r="C119" s="703"/>
      <c r="D119" s="703"/>
      <c r="E119" s="703"/>
      <c r="F119" s="703"/>
      <c r="G119" s="696"/>
      <c r="H119" s="696"/>
    </row>
    <row r="120" spans="1:8" ht="15.75">
      <c r="A120" s="696"/>
      <c r="B120" s="720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6" sqref="B36:I36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4">
        <f>pdeReportingDate</f>
        <v>45380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Анелия Илиева Илиева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3" t="str">
        <f>'Справка 7'!B116</f>
        <v>Васил Борисов Тренев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2021-12-10T13:26:48Z</cp:lastPrinted>
  <dcterms:created xsi:type="dcterms:W3CDTF">2006-09-16T00:00:00Z</dcterms:created>
  <dcterms:modified xsi:type="dcterms:W3CDTF">2024-03-19T12:18:35Z</dcterms:modified>
  <cp:category/>
  <cp:version/>
  <cp:contentType/>
  <cp:contentStatus/>
</cp:coreProperties>
</file>