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T:\Отчети\2021\Q3 cons\BG\"/>
    </mc:Choice>
  </mc:AlternateContent>
  <xr:revisionPtr revIDLastSave="0" documentId="13_ncr:81_{5545391D-D654-49EF-9B93-5CD1EB8FF21E}" xr6:coauthVersionLast="43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Справка 8.1 България" sheetId="9" r:id="rId9"/>
    <sheet name="Справка 8.2 Беларус" sheetId="10" r:id="rId10"/>
    <sheet name="Справка 8.3 САЩ" sheetId="11" r:id="rId11"/>
    <sheet name="Контроли" sheetId="12" state="hidden" r:id="rId12"/>
    <sheet name="Показатели" sheetId="13" state="hidden" r:id="rId13"/>
    <sheet name="Danni" sheetId="14" state="hidden" r:id="rId14"/>
    <sheet name="Nomenklaturi" sheetId="15" state="hidden" r:id="rId15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3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1">Контроли!$A$1:$G$15</definedName>
    <definedName name="_xlnm.Print_Area" localSheetId="0">Начална!$A$1:$B$29</definedName>
    <definedName name="_xlnm.Print_Area" localSheetId="12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1EA916F_C72F_43CC_9EC0_72107D69FD75_.wvu.FilterData" localSheetId="3" hidden="1">'3-Отчет за паричния поток'!$A$9:$D$48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3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доходите'!$A$1:$H$59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1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2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9A8EB53_799A_44EC_8C6C_29DF42F0501B_.wvu.FilterData" localSheetId="3" hidden="1">'3-Отчет за паричния поток'!$A$9:$D$48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3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1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2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1DD935DB_D46A_40EE_946D_66603FAB2615_.wvu.FilterData" localSheetId="3" hidden="1">'3-Отчет за паричния поток'!$A$9:$D$48</definedName>
    <definedName name="Z_4174F517_D0C7_47E6_BCEF_8F4C25FE6AEA_.wvu.FilterData" localSheetId="3" hidden="1">'3-Отчет за паричния поток'!$A$9:$D$48</definedName>
    <definedName name="Z_4D5B8505_AF7E_4808_95F0_3FDFE7D27AD6_.wvu.FilterData" localSheetId="3" hidden="1">'3-Отчет за паричния поток'!$A$9:$D$48</definedName>
    <definedName name="Z_5E16EC32_7964_49B9_91E7_8D7184F8009F_.wvu.FilterData" localSheetId="3" hidden="1">'3-Отчет за паричния поток'!$A$9:$D$48</definedName>
    <definedName name="Z_7776C635_3B84_49B9_BC14_BBF9F2F38839_.wvu.FilterData" localSheetId="3" hidden="1">'3-Отчет за паричния поток'!$A$9:$D$48</definedName>
    <definedName name="Z_7827706E_105B_4018_AE33_9B6518EC6CEE_.wvu.FilterData" localSheetId="3" hidden="1">'3-Отчет за паричния поток'!$A$9:$D$48</definedName>
    <definedName name="Z_7D6238F1_5FC6_48D1_85E5_6EB999742F5D_.wvu.FilterData" localSheetId="3" hidden="1">'3-Отчет за паричния поток'!$A$9:$D$48</definedName>
    <definedName name="Z_87DA79AD_56F6_4F70_82E6_1C8ADB4317A0_.wvu.FilterData" localSheetId="3" hidden="1">'3-Отчет за паричния поток'!$A$9:$D$48</definedName>
    <definedName name="Z_A6AA0378_E1CF_4B3D_9A72_060137E8678B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BA656C08_D7ED_46CB_98B9_7FCDC1F625B4_.wvu.FilterData" localSheetId="3" hidden="1">'3-Отчет за паричния поток'!$A$9:$D$48</definedName>
    <definedName name="Z_BC07AE63_8B60_44DE_A87D_405C35B898E5_.wvu.FilterData" localSheetId="3" hidden="1">'3-Отчет за паричния поток'!$A$9:$D$48</definedName>
    <definedName name="Z_DE3D9EAF_1767_451E_80FE_3028500A9C7F_.wvu.FilterData" localSheetId="3" hidden="1">'3-Отчет за паричния поток'!$A$9:$D$48</definedName>
    <definedName name="Z_DE3D9EAF_1767_451E_80FE_3028500A9C7F_.wvu.FilterData" localSheetId="13" hidden="1">Danni!$A$1:$H$1294</definedName>
    <definedName name="Z_DE3D9EAF_1767_451E_80FE_3028500A9C7F_.wvu.PrintArea" localSheetId="1" hidden="1">'1-Баланс'!$A$1:$H$111</definedName>
    <definedName name="Z_DE3D9EAF_1767_451E_80FE_3028500A9C7F_.wvu.PrintArea" localSheetId="2" hidden="1">'2-Отчет за доходите'!$A$1:$H$59</definedName>
    <definedName name="Z_DE3D9EAF_1767_451E_80FE_3028500A9C7F_.wvu.PrintArea" localSheetId="4" hidden="1">'4-Отчет за собствения капитал'!$A$1:$M$51</definedName>
    <definedName name="Z_DE3D9EAF_1767_451E_80FE_3028500A9C7F_.wvu.PrintArea" localSheetId="11" hidden="1">Контроли!$A$1:$G$15</definedName>
    <definedName name="Z_DE3D9EAF_1767_451E_80FE_3028500A9C7F_.wvu.PrintArea" localSheetId="0" hidden="1">Начална!$A$1:$B$29</definedName>
    <definedName name="Z_DE3D9EAF_1767_451E_80FE_3028500A9C7F_.wvu.PrintArea" localSheetId="12" hidden="1">Показатели!$A$1:$D$24</definedName>
    <definedName name="Z_DE3D9EAF_1767_451E_80FE_3028500A9C7F_.wvu.PrintArea" localSheetId="5" hidden="1">'Справка 6'!$A$1:$R$58</definedName>
    <definedName name="Z_DE3D9EAF_1767_451E_80FE_3028500A9C7F_.wvu.PrintTitles" localSheetId="1" hidden="1">'1-Баланс'!$9:$9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3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1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2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91029"/>
  <customWorkbookViews>
    <customWorkbookView name="Investor Relations - Personal View" guid="{DE3D9EAF-1767-451E-80FE-3028500A9C7F}" mergeInterval="0" personalView="1" maximized="1" xWindow="-8" yWindow="-8" windowWidth="1296" windowHeight="1000" activeSheetId="1"/>
    <customWorkbookView name="Antoaneta Ivanova Todorova - Personal View" guid="{17A0B690-90B4-478F-B629-540D801E18FD}" mergeInterval="0" personalView="1" xWindow="959" yWindow="-1" windowWidth="962" windowHeight="1032" tabRatio="814" activeSheetId="6"/>
    <customWorkbookView name="Lyudmila Bondzhova - Personal View" guid="{07871067-5294-4FEE-88CE-4A4A5BC97EF0}" mergeInterval="0" personalView="1" maximized="1" xWindow="-8" yWindow="-8" windowWidth="1936" windowHeight="1056" tabRatio="814" activeSheetId="3"/>
    <customWorkbookView name="Vladimir Papazov - Personal View" guid="{F2D4D9F9-DE61-45A3-92A2-4E78F2B34B7F}" mergeInterval="0" personalView="1" maximized="1" xWindow="-8" yWindow="-8" windowWidth="1936" windowHeight="1056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  <c r="F78" i="7" l="1"/>
  <c r="H29" i="6" l="1"/>
  <c r="I29" i="6"/>
  <c r="F27" i="8" l="1"/>
  <c r="C27" i="8"/>
  <c r="G18" i="8"/>
  <c r="C18" i="8"/>
  <c r="B38" i="8"/>
  <c r="H27" i="8"/>
  <c r="G27" i="8"/>
  <c r="E27" i="8"/>
  <c r="D27" i="8"/>
  <c r="I26" i="8"/>
  <c r="I25" i="8"/>
  <c r="I24" i="8"/>
  <c r="I23" i="8"/>
  <c r="I22" i="8"/>
  <c r="I20" i="8"/>
  <c r="E18" i="8"/>
  <c r="D18" i="8"/>
  <c r="I16" i="8"/>
  <c r="I15" i="8"/>
  <c r="I14" i="8"/>
  <c r="A4" i="8"/>
  <c r="A3" i="8"/>
  <c r="I17" i="8" l="1"/>
  <c r="I27" i="8"/>
  <c r="I21" i="8"/>
  <c r="F18" i="8"/>
  <c r="B37" i="11" l="1"/>
  <c r="H27" i="11"/>
  <c r="G27" i="11"/>
  <c r="F27" i="1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B37" i="10"/>
  <c r="H27" i="10"/>
  <c r="G27" i="10"/>
  <c r="F27" i="10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27" i="11" l="1"/>
  <c r="I27" i="10"/>
  <c r="I18" i="10"/>
  <c r="I18" i="11"/>
  <c r="B105" i="2" l="1"/>
  <c r="B38" i="9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AA1" i="1"/>
  <c r="C116" i="14" s="1"/>
  <c r="H8" i="14"/>
  <c r="A2" i="12"/>
  <c r="E14" i="12"/>
  <c r="E13" i="12"/>
  <c r="C15" i="12"/>
  <c r="C14" i="12"/>
  <c r="C13" i="12"/>
  <c r="C12" i="12"/>
  <c r="E9" i="12"/>
  <c r="C8" i="12"/>
  <c r="B1294" i="14"/>
  <c r="B1293" i="14"/>
  <c r="B1292" i="14"/>
  <c r="B1291" i="14"/>
  <c r="B1290" i="14"/>
  <c r="B1289" i="14"/>
  <c r="B1288" i="14"/>
  <c r="B1287" i="14"/>
  <c r="B1286" i="14"/>
  <c r="B1285" i="14"/>
  <c r="B1284" i="14"/>
  <c r="B1283" i="14"/>
  <c r="B1282" i="14"/>
  <c r="B1281" i="14"/>
  <c r="B1280" i="14"/>
  <c r="B1279" i="14"/>
  <c r="B1278" i="14"/>
  <c r="B1277" i="14"/>
  <c r="B1276" i="14"/>
  <c r="B1275" i="14"/>
  <c r="B1274" i="14"/>
  <c r="B1273" i="14"/>
  <c r="B1272" i="14"/>
  <c r="B1271" i="14"/>
  <c r="B1270" i="14"/>
  <c r="B1269" i="14"/>
  <c r="B1268" i="14"/>
  <c r="B1267" i="14"/>
  <c r="B1266" i="14"/>
  <c r="B1265" i="14"/>
  <c r="B1264" i="14"/>
  <c r="B1263" i="14"/>
  <c r="B1262" i="14"/>
  <c r="B1261" i="14"/>
  <c r="B1260" i="14"/>
  <c r="B1259" i="14"/>
  <c r="B1258" i="14"/>
  <c r="B1257" i="14"/>
  <c r="B1256" i="14"/>
  <c r="B1255" i="14"/>
  <c r="B1254" i="14"/>
  <c r="B1253" i="14"/>
  <c r="B1252" i="14"/>
  <c r="B1251" i="14"/>
  <c r="B1250" i="14"/>
  <c r="B1249" i="14"/>
  <c r="B1248" i="14"/>
  <c r="B1247" i="14"/>
  <c r="B1246" i="14"/>
  <c r="B1245" i="14"/>
  <c r="B1244" i="14"/>
  <c r="B1243" i="14"/>
  <c r="B1242" i="14"/>
  <c r="B1241" i="14"/>
  <c r="B1240" i="14"/>
  <c r="B1239" i="14"/>
  <c r="B1238" i="14"/>
  <c r="B1237" i="14"/>
  <c r="B1236" i="14"/>
  <c r="B1235" i="14"/>
  <c r="B1234" i="14"/>
  <c r="B1233" i="14"/>
  <c r="B1232" i="14"/>
  <c r="B1231" i="14"/>
  <c r="B1230" i="14"/>
  <c r="B1229" i="14"/>
  <c r="B1228" i="14"/>
  <c r="B1227" i="14"/>
  <c r="B1226" i="14"/>
  <c r="B1225" i="14"/>
  <c r="B1224" i="14"/>
  <c r="B1223" i="14"/>
  <c r="B1222" i="14"/>
  <c r="B1221" i="14"/>
  <c r="B1220" i="14"/>
  <c r="B1219" i="14"/>
  <c r="B1218" i="14"/>
  <c r="B1217" i="14"/>
  <c r="B1216" i="14"/>
  <c r="B1215" i="14"/>
  <c r="B1214" i="14"/>
  <c r="B1213" i="14"/>
  <c r="B1212" i="14"/>
  <c r="B1211" i="14"/>
  <c r="B1210" i="14"/>
  <c r="B1209" i="14"/>
  <c r="B1208" i="14"/>
  <c r="B1207" i="14"/>
  <c r="B1206" i="14"/>
  <c r="B1205" i="14"/>
  <c r="B1204" i="14"/>
  <c r="B1203" i="14"/>
  <c r="B1202" i="14"/>
  <c r="B1201" i="14"/>
  <c r="B1200" i="14"/>
  <c r="B1199" i="14"/>
  <c r="B1198" i="14"/>
  <c r="B1197" i="14"/>
  <c r="B1195" i="14"/>
  <c r="B1194" i="14"/>
  <c r="B1193" i="14"/>
  <c r="B1192" i="14"/>
  <c r="B1191" i="14"/>
  <c r="B1190" i="14"/>
  <c r="B1189" i="14"/>
  <c r="B1188" i="14"/>
  <c r="B1187" i="14"/>
  <c r="B1186" i="14"/>
  <c r="B1185" i="14"/>
  <c r="B1184" i="14"/>
  <c r="B1183" i="14"/>
  <c r="B1182" i="14"/>
  <c r="B1181" i="14"/>
  <c r="B1180" i="14"/>
  <c r="B1179" i="14"/>
  <c r="B1178" i="14"/>
  <c r="B1177" i="14"/>
  <c r="B1176" i="14"/>
  <c r="B1175" i="14"/>
  <c r="B1174" i="14"/>
  <c r="B1173" i="14"/>
  <c r="B1172" i="14"/>
  <c r="B1171" i="14"/>
  <c r="B1170" i="14"/>
  <c r="B1169" i="14"/>
  <c r="B1168" i="14"/>
  <c r="B1167" i="14"/>
  <c r="B1166" i="14"/>
  <c r="B1165" i="14"/>
  <c r="B1164" i="14"/>
  <c r="B1163" i="14"/>
  <c r="B1162" i="14"/>
  <c r="B1161" i="14"/>
  <c r="B1160" i="14"/>
  <c r="B1159" i="14"/>
  <c r="B1158" i="14"/>
  <c r="B1157" i="14"/>
  <c r="B1156" i="14"/>
  <c r="B1155" i="14"/>
  <c r="B1154" i="14"/>
  <c r="B1153" i="14"/>
  <c r="B1152" i="14"/>
  <c r="B1151" i="14"/>
  <c r="B1150" i="14"/>
  <c r="B1149" i="14"/>
  <c r="B1148" i="14"/>
  <c r="B1147" i="14"/>
  <c r="B1146" i="14"/>
  <c r="B1145" i="14"/>
  <c r="B1144" i="14"/>
  <c r="B1143" i="14"/>
  <c r="B1142" i="14"/>
  <c r="B1141" i="14"/>
  <c r="B1140" i="14"/>
  <c r="B1139" i="14"/>
  <c r="B1138" i="14"/>
  <c r="B1137" i="14"/>
  <c r="B1136" i="14"/>
  <c r="B1135" i="14"/>
  <c r="B1134" i="14"/>
  <c r="B1133" i="14"/>
  <c r="B1132" i="14"/>
  <c r="B1131" i="14"/>
  <c r="B1130" i="14"/>
  <c r="B1129" i="14"/>
  <c r="B1128" i="14"/>
  <c r="B1127" i="14"/>
  <c r="B1126" i="14"/>
  <c r="B1125" i="14"/>
  <c r="B1124" i="14"/>
  <c r="B1123" i="14"/>
  <c r="B1122" i="14"/>
  <c r="B1121" i="14"/>
  <c r="B1120" i="14"/>
  <c r="B1119" i="14"/>
  <c r="B1118" i="14"/>
  <c r="B1117" i="14"/>
  <c r="B1116" i="14"/>
  <c r="B1115" i="14"/>
  <c r="B1114" i="14"/>
  <c r="B1113" i="14"/>
  <c r="B1112" i="14"/>
  <c r="B1111" i="14"/>
  <c r="B1110" i="14"/>
  <c r="B1109" i="14"/>
  <c r="B1108" i="14"/>
  <c r="B1107" i="14"/>
  <c r="B1106" i="14"/>
  <c r="B1105" i="14"/>
  <c r="B1104" i="14"/>
  <c r="B1103" i="14"/>
  <c r="B1102" i="14"/>
  <c r="B1101" i="14"/>
  <c r="B1100" i="14"/>
  <c r="B1099" i="14"/>
  <c r="B1098" i="14"/>
  <c r="B1097" i="14"/>
  <c r="B1096" i="14"/>
  <c r="B1095" i="14"/>
  <c r="B1094" i="14"/>
  <c r="B1093" i="14"/>
  <c r="B1092" i="14"/>
  <c r="B1091" i="14"/>
  <c r="B1090" i="14"/>
  <c r="B1089" i="14"/>
  <c r="B1088" i="14"/>
  <c r="B1087" i="14"/>
  <c r="B1086" i="14"/>
  <c r="B1085" i="14"/>
  <c r="B1084" i="14"/>
  <c r="B1083" i="14"/>
  <c r="B1082" i="14"/>
  <c r="B1081" i="14"/>
  <c r="B1080" i="14"/>
  <c r="B1079" i="14"/>
  <c r="B1078" i="14"/>
  <c r="B1077" i="14"/>
  <c r="B1076" i="14"/>
  <c r="B1075" i="14"/>
  <c r="B1074" i="14"/>
  <c r="B1073" i="14"/>
  <c r="B1072" i="14"/>
  <c r="B1071" i="14"/>
  <c r="B1070" i="14"/>
  <c r="B1069" i="14"/>
  <c r="B1068" i="14"/>
  <c r="B1067" i="14"/>
  <c r="B1066" i="14"/>
  <c r="B1065" i="14"/>
  <c r="B1064" i="14"/>
  <c r="B1063" i="14"/>
  <c r="B1062" i="14"/>
  <c r="B1061" i="14"/>
  <c r="B1060" i="14"/>
  <c r="B1059" i="14"/>
  <c r="B1058" i="14"/>
  <c r="B1057" i="14"/>
  <c r="B1056" i="14"/>
  <c r="B1055" i="14"/>
  <c r="B1054" i="14"/>
  <c r="B1053" i="14"/>
  <c r="B1052" i="14"/>
  <c r="B1051" i="14"/>
  <c r="B1050" i="14"/>
  <c r="B1049" i="14"/>
  <c r="B1048" i="14"/>
  <c r="B1047" i="14"/>
  <c r="B1046" i="14"/>
  <c r="B1045" i="14"/>
  <c r="B1044" i="14"/>
  <c r="B1043" i="14"/>
  <c r="B1042" i="14"/>
  <c r="B1041" i="14"/>
  <c r="B1040" i="14"/>
  <c r="B1039" i="14"/>
  <c r="B1038" i="14"/>
  <c r="B1037" i="14"/>
  <c r="B1036" i="14"/>
  <c r="B1035" i="14"/>
  <c r="B1034" i="14"/>
  <c r="B1033" i="14"/>
  <c r="B1032" i="14"/>
  <c r="B1031" i="14"/>
  <c r="B1030" i="14"/>
  <c r="B1029" i="14"/>
  <c r="B1028" i="14"/>
  <c r="B1027" i="14"/>
  <c r="B1026" i="14"/>
  <c r="B1025" i="14"/>
  <c r="B1024" i="14"/>
  <c r="B1023" i="14"/>
  <c r="B1022" i="14"/>
  <c r="B1021" i="14"/>
  <c r="B1020" i="14"/>
  <c r="B1019" i="14"/>
  <c r="B1018" i="14"/>
  <c r="B1017" i="14"/>
  <c r="B1016" i="14"/>
  <c r="B1015" i="14"/>
  <c r="B1014" i="14"/>
  <c r="B1013" i="14"/>
  <c r="B1012" i="14"/>
  <c r="B1011" i="14"/>
  <c r="B1010" i="14"/>
  <c r="B1009" i="14"/>
  <c r="B1008" i="14"/>
  <c r="B1007" i="14"/>
  <c r="B1006" i="14"/>
  <c r="B1005" i="14"/>
  <c r="B1004" i="14"/>
  <c r="B1003" i="14"/>
  <c r="B1002" i="14"/>
  <c r="B1001" i="14"/>
  <c r="B1000" i="14"/>
  <c r="B999" i="14"/>
  <c r="B998" i="14"/>
  <c r="B997" i="14"/>
  <c r="B996" i="14"/>
  <c r="B995" i="14"/>
  <c r="B994" i="14"/>
  <c r="B993" i="14"/>
  <c r="B992" i="14"/>
  <c r="B991" i="14"/>
  <c r="B990" i="14"/>
  <c r="B989" i="14"/>
  <c r="B988" i="14"/>
  <c r="B987" i="14"/>
  <c r="B986" i="14"/>
  <c r="B985" i="14"/>
  <c r="B984" i="14"/>
  <c r="B983" i="14"/>
  <c r="B982" i="14"/>
  <c r="B981" i="14"/>
  <c r="B980" i="14"/>
  <c r="B979" i="14"/>
  <c r="B978" i="14"/>
  <c r="B977" i="14"/>
  <c r="B976" i="14"/>
  <c r="B975" i="14"/>
  <c r="B974" i="14"/>
  <c r="B973" i="14"/>
  <c r="B972" i="14"/>
  <c r="B971" i="14"/>
  <c r="B970" i="14"/>
  <c r="B969" i="14"/>
  <c r="B968" i="14"/>
  <c r="B967" i="14"/>
  <c r="B966" i="14"/>
  <c r="B965" i="14"/>
  <c r="B964" i="14"/>
  <c r="B963" i="14"/>
  <c r="B962" i="14"/>
  <c r="B961" i="14"/>
  <c r="B960" i="14"/>
  <c r="B959" i="14"/>
  <c r="B958" i="14"/>
  <c r="B957" i="14"/>
  <c r="B956" i="14"/>
  <c r="B955" i="14"/>
  <c r="B954" i="14"/>
  <c r="B953" i="14"/>
  <c r="B952" i="14"/>
  <c r="B951" i="14"/>
  <c r="B950" i="14"/>
  <c r="B949" i="14"/>
  <c r="B948" i="14"/>
  <c r="B947" i="14"/>
  <c r="B946" i="14"/>
  <c r="B945" i="14"/>
  <c r="B944" i="14"/>
  <c r="B943" i="14"/>
  <c r="B942" i="14"/>
  <c r="B941" i="14"/>
  <c r="B940" i="14"/>
  <c r="B939" i="14"/>
  <c r="B938" i="14"/>
  <c r="B937" i="14"/>
  <c r="B936" i="14"/>
  <c r="B935" i="14"/>
  <c r="B934" i="14"/>
  <c r="B933" i="14"/>
  <c r="B932" i="14"/>
  <c r="B931" i="14"/>
  <c r="B930" i="14"/>
  <c r="B929" i="14"/>
  <c r="B928" i="14"/>
  <c r="B927" i="14"/>
  <c r="B926" i="14"/>
  <c r="B925" i="14"/>
  <c r="B924" i="14"/>
  <c r="B923" i="14"/>
  <c r="B922" i="14"/>
  <c r="B921" i="14"/>
  <c r="B920" i="14"/>
  <c r="B919" i="14"/>
  <c r="B918" i="14"/>
  <c r="B917" i="14"/>
  <c r="B916" i="14"/>
  <c r="B915" i="14"/>
  <c r="B914" i="14"/>
  <c r="B913" i="14"/>
  <c r="B912" i="14"/>
  <c r="B910" i="14"/>
  <c r="B909" i="14"/>
  <c r="B908" i="14"/>
  <c r="B907" i="14"/>
  <c r="B906" i="14"/>
  <c r="B905" i="14"/>
  <c r="B904" i="14"/>
  <c r="B903" i="14"/>
  <c r="B902" i="14"/>
  <c r="B901" i="14"/>
  <c r="B900" i="14"/>
  <c r="B899" i="14"/>
  <c r="B898" i="14"/>
  <c r="B897" i="14"/>
  <c r="B896" i="14"/>
  <c r="B895" i="14"/>
  <c r="B894" i="14"/>
  <c r="B893" i="14"/>
  <c r="B892" i="14"/>
  <c r="B891" i="14"/>
  <c r="B890" i="14"/>
  <c r="B889" i="14"/>
  <c r="B888" i="14"/>
  <c r="B887" i="14"/>
  <c r="B886" i="14"/>
  <c r="B885" i="14"/>
  <c r="B884" i="14"/>
  <c r="B883" i="14"/>
  <c r="B882" i="14"/>
  <c r="B881" i="14"/>
  <c r="B880" i="14"/>
  <c r="B879" i="14"/>
  <c r="B878" i="14"/>
  <c r="B877" i="14"/>
  <c r="B876" i="14"/>
  <c r="B875" i="14"/>
  <c r="B874" i="14"/>
  <c r="B873" i="14"/>
  <c r="B872" i="14"/>
  <c r="B871" i="14"/>
  <c r="B870" i="14"/>
  <c r="B869" i="14"/>
  <c r="B868" i="14"/>
  <c r="B867" i="14"/>
  <c r="B866" i="14"/>
  <c r="B865" i="14"/>
  <c r="B864" i="14"/>
  <c r="B863" i="14"/>
  <c r="B862" i="14"/>
  <c r="B861" i="14"/>
  <c r="B860" i="14"/>
  <c r="B859" i="14"/>
  <c r="B858" i="14"/>
  <c r="B857" i="14"/>
  <c r="B856" i="14"/>
  <c r="B855" i="14"/>
  <c r="B854" i="14"/>
  <c r="B853" i="14"/>
  <c r="B852" i="14"/>
  <c r="B851" i="14"/>
  <c r="B850" i="14"/>
  <c r="B849" i="14"/>
  <c r="B848" i="14"/>
  <c r="B847" i="14"/>
  <c r="B846" i="14"/>
  <c r="B845" i="14"/>
  <c r="B844" i="14"/>
  <c r="B843" i="14"/>
  <c r="B842" i="14"/>
  <c r="B841" i="14"/>
  <c r="B840" i="14"/>
  <c r="B839" i="14"/>
  <c r="B838" i="14"/>
  <c r="B837" i="14"/>
  <c r="B836" i="14"/>
  <c r="B835" i="14"/>
  <c r="B834" i="14"/>
  <c r="B833" i="14"/>
  <c r="B832" i="14"/>
  <c r="B831" i="14"/>
  <c r="B830" i="14"/>
  <c r="B829" i="14"/>
  <c r="B828" i="14"/>
  <c r="B827" i="14"/>
  <c r="B826" i="14"/>
  <c r="B825" i="14"/>
  <c r="B824" i="14"/>
  <c r="B823" i="14"/>
  <c r="B822" i="14"/>
  <c r="B821" i="14"/>
  <c r="B820" i="14"/>
  <c r="B819" i="14"/>
  <c r="B818" i="14"/>
  <c r="B817" i="14"/>
  <c r="B816" i="14"/>
  <c r="B815" i="14"/>
  <c r="B814" i="14"/>
  <c r="B813" i="14"/>
  <c r="B812" i="14"/>
  <c r="B811" i="14"/>
  <c r="B810" i="14"/>
  <c r="B809" i="14"/>
  <c r="B808" i="14"/>
  <c r="B807" i="14"/>
  <c r="B806" i="14"/>
  <c r="B805" i="14"/>
  <c r="B804" i="14"/>
  <c r="B803" i="14"/>
  <c r="B802" i="14"/>
  <c r="B801" i="14"/>
  <c r="B800" i="14"/>
  <c r="B799" i="14"/>
  <c r="B798" i="14"/>
  <c r="B797" i="14"/>
  <c r="B796" i="14"/>
  <c r="B795" i="14"/>
  <c r="B794" i="14"/>
  <c r="B793" i="14"/>
  <c r="B792" i="14"/>
  <c r="B791" i="14"/>
  <c r="B790" i="14"/>
  <c r="B789" i="14"/>
  <c r="B788" i="14"/>
  <c r="B787" i="14"/>
  <c r="B786" i="14"/>
  <c r="B785" i="14"/>
  <c r="B784" i="14"/>
  <c r="B783" i="14"/>
  <c r="B782" i="14"/>
  <c r="B781" i="14"/>
  <c r="B780" i="14"/>
  <c r="B779" i="14"/>
  <c r="B778" i="14"/>
  <c r="B777" i="14"/>
  <c r="B776" i="14"/>
  <c r="B775" i="14"/>
  <c r="B774" i="14"/>
  <c r="B773" i="14"/>
  <c r="B772" i="14"/>
  <c r="B771" i="14"/>
  <c r="B770" i="14"/>
  <c r="B769" i="14"/>
  <c r="B768" i="14"/>
  <c r="B767" i="14"/>
  <c r="B766" i="14"/>
  <c r="B765" i="14"/>
  <c r="B764" i="14"/>
  <c r="B763" i="14"/>
  <c r="B762" i="14"/>
  <c r="B761" i="14"/>
  <c r="B760" i="14"/>
  <c r="B759" i="14"/>
  <c r="B758" i="14"/>
  <c r="B757" i="14"/>
  <c r="B756" i="14"/>
  <c r="B755" i="14"/>
  <c r="B754" i="14"/>
  <c r="B753" i="14"/>
  <c r="B752" i="14"/>
  <c r="B751" i="14"/>
  <c r="B750" i="14"/>
  <c r="B749" i="14"/>
  <c r="B748" i="14"/>
  <c r="B747" i="14"/>
  <c r="B746" i="14"/>
  <c r="B745" i="14"/>
  <c r="B744" i="14"/>
  <c r="B743" i="14"/>
  <c r="B742" i="14"/>
  <c r="B741" i="14"/>
  <c r="B740" i="14"/>
  <c r="B739" i="14"/>
  <c r="B738" i="14"/>
  <c r="B737" i="14"/>
  <c r="B736" i="14"/>
  <c r="B735" i="14"/>
  <c r="B734" i="14"/>
  <c r="B733" i="14"/>
  <c r="B732" i="14"/>
  <c r="B731" i="14"/>
  <c r="B730" i="14"/>
  <c r="B729" i="14"/>
  <c r="B728" i="14"/>
  <c r="B727" i="14"/>
  <c r="B726" i="14"/>
  <c r="B725" i="14"/>
  <c r="B724" i="14"/>
  <c r="B723" i="14"/>
  <c r="B722" i="14"/>
  <c r="B721" i="14"/>
  <c r="B720" i="14"/>
  <c r="B719" i="14"/>
  <c r="B718" i="14"/>
  <c r="B717" i="14"/>
  <c r="B716" i="14"/>
  <c r="B715" i="14"/>
  <c r="B714" i="14"/>
  <c r="B713" i="14"/>
  <c r="B712" i="14"/>
  <c r="B711" i="14"/>
  <c r="B710" i="14"/>
  <c r="B709" i="14"/>
  <c r="B708" i="14"/>
  <c r="B707" i="14"/>
  <c r="B706" i="14"/>
  <c r="B705" i="14"/>
  <c r="B704" i="14"/>
  <c r="B703" i="14"/>
  <c r="B702" i="14"/>
  <c r="B701" i="14"/>
  <c r="B700" i="14"/>
  <c r="B699" i="14"/>
  <c r="B698" i="14"/>
  <c r="B697" i="14"/>
  <c r="B696" i="14"/>
  <c r="B695" i="14"/>
  <c r="B694" i="14"/>
  <c r="B693" i="14"/>
  <c r="B692" i="14"/>
  <c r="B691" i="14"/>
  <c r="B690" i="14"/>
  <c r="B689" i="14"/>
  <c r="B688" i="14"/>
  <c r="B687" i="14"/>
  <c r="B686" i="14"/>
  <c r="B685" i="14"/>
  <c r="B684" i="14"/>
  <c r="B683" i="14"/>
  <c r="B682" i="14"/>
  <c r="B681" i="14"/>
  <c r="B680" i="14"/>
  <c r="B679" i="14"/>
  <c r="B678" i="14"/>
  <c r="B677" i="14"/>
  <c r="B676" i="14"/>
  <c r="B675" i="14"/>
  <c r="B674" i="14"/>
  <c r="B673" i="14"/>
  <c r="B672" i="14"/>
  <c r="B671" i="14"/>
  <c r="B670" i="14"/>
  <c r="B669" i="14"/>
  <c r="B668" i="14"/>
  <c r="B667" i="14"/>
  <c r="B666" i="14"/>
  <c r="B665" i="14"/>
  <c r="B664" i="14"/>
  <c r="B663" i="14"/>
  <c r="B662" i="14"/>
  <c r="B661" i="14"/>
  <c r="B660" i="14"/>
  <c r="B659" i="14"/>
  <c r="B658" i="14"/>
  <c r="B657" i="14"/>
  <c r="B656" i="14"/>
  <c r="B655" i="14"/>
  <c r="B654" i="14"/>
  <c r="B653" i="14"/>
  <c r="B652" i="14"/>
  <c r="B651" i="14"/>
  <c r="B650" i="14"/>
  <c r="B649" i="14"/>
  <c r="B648" i="14"/>
  <c r="B647" i="14"/>
  <c r="B646" i="14"/>
  <c r="B645" i="14"/>
  <c r="B644" i="14"/>
  <c r="B643" i="14"/>
  <c r="B642" i="14"/>
  <c r="B641" i="14"/>
  <c r="B640" i="14"/>
  <c r="B639" i="14"/>
  <c r="B638" i="14"/>
  <c r="B637" i="14"/>
  <c r="B636" i="14"/>
  <c r="B635" i="14"/>
  <c r="B634" i="14"/>
  <c r="B633" i="14"/>
  <c r="B632" i="14"/>
  <c r="B631" i="14"/>
  <c r="B630" i="14"/>
  <c r="B629" i="14"/>
  <c r="B628" i="14"/>
  <c r="B627" i="14"/>
  <c r="B626" i="14"/>
  <c r="B625" i="14"/>
  <c r="B624" i="14"/>
  <c r="B623" i="14"/>
  <c r="B622" i="14"/>
  <c r="B621" i="14"/>
  <c r="B620" i="14"/>
  <c r="B619" i="14"/>
  <c r="B618" i="14"/>
  <c r="B617" i="14"/>
  <c r="B616" i="14"/>
  <c r="B615" i="14"/>
  <c r="B614" i="14"/>
  <c r="B613" i="14"/>
  <c r="B612" i="14"/>
  <c r="B611" i="14"/>
  <c r="B610" i="14"/>
  <c r="B609" i="14"/>
  <c r="B608" i="14"/>
  <c r="B607" i="14"/>
  <c r="B606" i="14"/>
  <c r="B605" i="14"/>
  <c r="B604" i="14"/>
  <c r="B603" i="14"/>
  <c r="B602" i="14"/>
  <c r="B601" i="14"/>
  <c r="B600" i="14"/>
  <c r="B599" i="14"/>
  <c r="B598" i="14"/>
  <c r="B597" i="14"/>
  <c r="B596" i="14"/>
  <c r="B595" i="14"/>
  <c r="B594" i="14"/>
  <c r="B593" i="14"/>
  <c r="B592" i="14"/>
  <c r="B591" i="14"/>
  <c r="B590" i="14"/>
  <c r="B589" i="14"/>
  <c r="B588" i="14"/>
  <c r="B587" i="14"/>
  <c r="B586" i="14"/>
  <c r="B585" i="14"/>
  <c r="B584" i="14"/>
  <c r="B583" i="14"/>
  <c r="B582" i="14"/>
  <c r="B581" i="14"/>
  <c r="B580" i="14"/>
  <c r="B579" i="14"/>
  <c r="B578" i="14"/>
  <c r="B577" i="14"/>
  <c r="B576" i="14"/>
  <c r="B575" i="14"/>
  <c r="B574" i="14"/>
  <c r="B573" i="14"/>
  <c r="B572" i="14"/>
  <c r="B571" i="14"/>
  <c r="B570" i="14"/>
  <c r="B569" i="14"/>
  <c r="B568" i="14"/>
  <c r="B567" i="14"/>
  <c r="B566" i="14"/>
  <c r="B565" i="14"/>
  <c r="B564" i="14"/>
  <c r="B563" i="14"/>
  <c r="B562" i="14"/>
  <c r="B561" i="14"/>
  <c r="B560" i="14"/>
  <c r="B559" i="14"/>
  <c r="B558" i="14"/>
  <c r="B557" i="14"/>
  <c r="B556" i="14"/>
  <c r="B555" i="14"/>
  <c r="B554" i="14"/>
  <c r="B553" i="14"/>
  <c r="B552" i="14"/>
  <c r="B551" i="14"/>
  <c r="B550" i="14"/>
  <c r="B549" i="14"/>
  <c r="B548" i="14"/>
  <c r="B547" i="14"/>
  <c r="B546" i="14"/>
  <c r="B545" i="14"/>
  <c r="B544" i="14"/>
  <c r="B543" i="14"/>
  <c r="B542" i="14"/>
  <c r="B541" i="14"/>
  <c r="B540" i="14"/>
  <c r="B539" i="14"/>
  <c r="B538" i="14"/>
  <c r="B537" i="14"/>
  <c r="B536" i="14"/>
  <c r="B535" i="14"/>
  <c r="B534" i="14"/>
  <c r="B533" i="14"/>
  <c r="B532" i="14"/>
  <c r="B531" i="14"/>
  <c r="B530" i="14"/>
  <c r="B529" i="14"/>
  <c r="B528" i="14"/>
  <c r="B527" i="14"/>
  <c r="B526" i="14"/>
  <c r="B525" i="14"/>
  <c r="B524" i="14"/>
  <c r="B523" i="14"/>
  <c r="B522" i="14"/>
  <c r="B521" i="14"/>
  <c r="B520" i="14"/>
  <c r="B519" i="14"/>
  <c r="B518" i="14"/>
  <c r="B517" i="14"/>
  <c r="B516" i="14"/>
  <c r="B515" i="14"/>
  <c r="B514" i="14"/>
  <c r="B513" i="14"/>
  <c r="B512" i="14"/>
  <c r="B511" i="14"/>
  <c r="B510" i="14"/>
  <c r="B509" i="14"/>
  <c r="B508" i="14"/>
  <c r="B507" i="14"/>
  <c r="B506" i="14"/>
  <c r="B505" i="14"/>
  <c r="B504" i="14"/>
  <c r="B503" i="14"/>
  <c r="B502" i="14"/>
  <c r="B501" i="14"/>
  <c r="B500" i="14"/>
  <c r="B499" i="14"/>
  <c r="B498" i="14"/>
  <c r="B497" i="14"/>
  <c r="B496" i="14"/>
  <c r="B495" i="14"/>
  <c r="B494" i="14"/>
  <c r="B493" i="14"/>
  <c r="B492" i="14"/>
  <c r="B491" i="14"/>
  <c r="B490" i="14"/>
  <c r="B489" i="14"/>
  <c r="B488" i="14"/>
  <c r="B487" i="14"/>
  <c r="B486" i="14"/>
  <c r="B485" i="14"/>
  <c r="B484" i="14"/>
  <c r="B483" i="14"/>
  <c r="B482" i="14"/>
  <c r="B481" i="14"/>
  <c r="B480" i="14"/>
  <c r="B479" i="14"/>
  <c r="B478" i="14"/>
  <c r="B477" i="14"/>
  <c r="B476" i="14"/>
  <c r="B475" i="14"/>
  <c r="B474" i="14"/>
  <c r="B473" i="14"/>
  <c r="B472" i="14"/>
  <c r="B471" i="14"/>
  <c r="B470" i="14"/>
  <c r="B469" i="14"/>
  <c r="B468" i="14"/>
  <c r="B467" i="14"/>
  <c r="B466" i="14"/>
  <c r="B465" i="14"/>
  <c r="B464" i="14"/>
  <c r="B463" i="14"/>
  <c r="B462" i="14"/>
  <c r="B461" i="14"/>
  <c r="B459" i="14"/>
  <c r="B458" i="14"/>
  <c r="B457" i="14"/>
  <c r="B456" i="14"/>
  <c r="B455" i="14"/>
  <c r="B454" i="14"/>
  <c r="B453" i="14"/>
  <c r="B452" i="14"/>
  <c r="B451" i="14"/>
  <c r="B450" i="14"/>
  <c r="B449" i="14"/>
  <c r="B448" i="14"/>
  <c r="B447" i="14"/>
  <c r="B446" i="14"/>
  <c r="B445" i="14"/>
  <c r="B444" i="14"/>
  <c r="B443" i="14"/>
  <c r="B442" i="14"/>
  <c r="B441" i="14"/>
  <c r="B440" i="14"/>
  <c r="B439" i="14"/>
  <c r="B438" i="14"/>
  <c r="B437" i="14"/>
  <c r="B436" i="14"/>
  <c r="B435" i="14"/>
  <c r="B434" i="14"/>
  <c r="B433" i="14"/>
  <c r="B432" i="14"/>
  <c r="B431" i="14"/>
  <c r="B430" i="14"/>
  <c r="B429" i="14"/>
  <c r="B428" i="14"/>
  <c r="B427" i="14"/>
  <c r="B426" i="14"/>
  <c r="B425" i="14"/>
  <c r="B424" i="14"/>
  <c r="B423" i="14"/>
  <c r="B422" i="14"/>
  <c r="B421" i="14"/>
  <c r="B420" i="14"/>
  <c r="B419" i="14"/>
  <c r="B418" i="14"/>
  <c r="B417" i="14"/>
  <c r="B416" i="14"/>
  <c r="B415" i="14"/>
  <c r="B414" i="14"/>
  <c r="B413" i="14"/>
  <c r="B412" i="14"/>
  <c r="B411" i="14"/>
  <c r="B410" i="14"/>
  <c r="B409" i="14"/>
  <c r="B408" i="14"/>
  <c r="B407" i="14"/>
  <c r="B406" i="14"/>
  <c r="B405" i="14"/>
  <c r="B404" i="14"/>
  <c r="B403" i="14"/>
  <c r="B402" i="14"/>
  <c r="B401" i="14"/>
  <c r="B400" i="14"/>
  <c r="B399" i="14"/>
  <c r="B398" i="14"/>
  <c r="B397" i="14"/>
  <c r="B396" i="14"/>
  <c r="B395" i="14"/>
  <c r="B394" i="14"/>
  <c r="B393" i="14"/>
  <c r="B392" i="14"/>
  <c r="B391" i="14"/>
  <c r="B390" i="14"/>
  <c r="B389" i="14"/>
  <c r="B388" i="14"/>
  <c r="B387" i="14"/>
  <c r="B386" i="14"/>
  <c r="B385" i="14"/>
  <c r="B384" i="14"/>
  <c r="B383" i="14"/>
  <c r="B382" i="14"/>
  <c r="B381" i="14"/>
  <c r="B380" i="14"/>
  <c r="B379" i="14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A1294" i="14"/>
  <c r="A1293" i="14"/>
  <c r="A1292" i="14"/>
  <c r="A1291" i="14"/>
  <c r="A1290" i="14"/>
  <c r="A1289" i="14"/>
  <c r="A1288" i="14"/>
  <c r="A1287" i="14"/>
  <c r="A1286" i="14"/>
  <c r="A1285" i="14"/>
  <c r="A1284" i="14"/>
  <c r="A1283" i="14"/>
  <c r="A1282" i="14"/>
  <c r="A1281" i="14"/>
  <c r="A1280" i="14"/>
  <c r="A1279" i="14"/>
  <c r="A1278" i="14"/>
  <c r="A1277" i="14"/>
  <c r="A1276" i="14"/>
  <c r="A1275" i="14"/>
  <c r="A1274" i="14"/>
  <c r="A1273" i="14"/>
  <c r="A1272" i="14"/>
  <c r="A1271" i="14"/>
  <c r="A1270" i="14"/>
  <c r="A1269" i="14"/>
  <c r="A1268" i="14"/>
  <c r="A1267" i="14"/>
  <c r="A1266" i="14"/>
  <c r="A1265" i="14"/>
  <c r="A1264" i="14"/>
  <c r="A1263" i="14"/>
  <c r="A1262" i="14"/>
  <c r="A1261" i="14"/>
  <c r="A1260" i="14"/>
  <c r="A1259" i="14"/>
  <c r="A1258" i="14"/>
  <c r="A1257" i="14"/>
  <c r="A1256" i="14"/>
  <c r="A1255" i="14"/>
  <c r="A1254" i="14"/>
  <c r="A1253" i="14"/>
  <c r="A1252" i="14"/>
  <c r="A1251" i="14"/>
  <c r="A1250" i="14"/>
  <c r="A1249" i="14"/>
  <c r="A1248" i="14"/>
  <c r="A1247" i="14"/>
  <c r="A1246" i="14"/>
  <c r="A1245" i="14"/>
  <c r="A1244" i="14"/>
  <c r="A1243" i="14"/>
  <c r="A1242" i="14"/>
  <c r="A1241" i="14"/>
  <c r="A1240" i="14"/>
  <c r="A1239" i="14"/>
  <c r="A1238" i="14"/>
  <c r="A1237" i="14"/>
  <c r="A1236" i="14"/>
  <c r="A1235" i="14"/>
  <c r="A1234" i="14"/>
  <c r="A1233" i="14"/>
  <c r="A1232" i="14"/>
  <c r="A1231" i="14"/>
  <c r="A1230" i="14"/>
  <c r="A1229" i="14"/>
  <c r="A1228" i="14"/>
  <c r="A1227" i="14"/>
  <c r="A1226" i="14"/>
  <c r="A1225" i="14"/>
  <c r="A1224" i="14"/>
  <c r="A1223" i="14"/>
  <c r="A1222" i="14"/>
  <c r="A1221" i="14"/>
  <c r="A1220" i="14"/>
  <c r="A1219" i="14"/>
  <c r="A1218" i="14"/>
  <c r="A1217" i="14"/>
  <c r="A1216" i="14"/>
  <c r="A1215" i="14"/>
  <c r="A1214" i="14"/>
  <c r="A1213" i="14"/>
  <c r="A1212" i="14"/>
  <c r="A1211" i="14"/>
  <c r="A1210" i="14"/>
  <c r="A1209" i="14"/>
  <c r="A1208" i="14"/>
  <c r="A1207" i="14"/>
  <c r="A1206" i="14"/>
  <c r="A1205" i="14"/>
  <c r="A1204" i="14"/>
  <c r="A1203" i="14"/>
  <c r="A1202" i="14"/>
  <c r="A1201" i="14"/>
  <c r="A1200" i="14"/>
  <c r="A1199" i="14"/>
  <c r="A1198" i="14"/>
  <c r="A1197" i="14"/>
  <c r="A1195" i="14"/>
  <c r="A1194" i="14"/>
  <c r="A1193" i="14"/>
  <c r="A1192" i="14"/>
  <c r="A1191" i="14"/>
  <c r="A1190" i="14"/>
  <c r="A1189" i="14"/>
  <c r="A1188" i="14"/>
  <c r="A1187" i="14"/>
  <c r="A1186" i="14"/>
  <c r="A1185" i="14"/>
  <c r="A1184" i="14"/>
  <c r="A1183" i="14"/>
  <c r="A1182" i="14"/>
  <c r="A1181" i="14"/>
  <c r="A1180" i="14"/>
  <c r="A1179" i="14"/>
  <c r="A1178" i="14"/>
  <c r="A1177" i="14"/>
  <c r="A1176" i="14"/>
  <c r="A1175" i="14"/>
  <c r="A1174" i="14"/>
  <c r="A1173" i="14"/>
  <c r="A1172" i="14"/>
  <c r="A1171" i="14"/>
  <c r="A1170" i="14"/>
  <c r="A1169" i="14"/>
  <c r="A1168" i="14"/>
  <c r="A1167" i="14"/>
  <c r="A1166" i="14"/>
  <c r="A1165" i="14"/>
  <c r="A1164" i="14"/>
  <c r="A1163" i="14"/>
  <c r="A1162" i="14"/>
  <c r="A1161" i="14"/>
  <c r="A1160" i="14"/>
  <c r="A1159" i="14"/>
  <c r="A1158" i="14"/>
  <c r="A1157" i="14"/>
  <c r="A1156" i="14"/>
  <c r="A1155" i="14"/>
  <c r="A1154" i="14"/>
  <c r="A1153" i="14"/>
  <c r="A1152" i="14"/>
  <c r="A1151" i="14"/>
  <c r="A1150" i="14"/>
  <c r="A1149" i="14"/>
  <c r="A1148" i="14"/>
  <c r="A1147" i="14"/>
  <c r="A1146" i="14"/>
  <c r="A1145" i="14"/>
  <c r="A1144" i="14"/>
  <c r="A1143" i="14"/>
  <c r="A1142" i="14"/>
  <c r="A1141" i="14"/>
  <c r="A1140" i="14"/>
  <c r="A1139" i="14"/>
  <c r="A1138" i="14"/>
  <c r="A1137" i="14"/>
  <c r="A1136" i="14"/>
  <c r="A1135" i="14"/>
  <c r="A1134" i="14"/>
  <c r="A1133" i="14"/>
  <c r="A1132" i="14"/>
  <c r="A1131" i="14"/>
  <c r="A1130" i="14"/>
  <c r="A1129" i="14"/>
  <c r="A1128" i="14"/>
  <c r="A1127" i="14"/>
  <c r="A1126" i="14"/>
  <c r="A1125" i="14"/>
  <c r="A1124" i="14"/>
  <c r="A1123" i="14"/>
  <c r="A1122" i="14"/>
  <c r="A1121" i="14"/>
  <c r="A1120" i="14"/>
  <c r="A1119" i="14"/>
  <c r="A1118" i="14"/>
  <c r="A1117" i="14"/>
  <c r="A1116" i="14"/>
  <c r="A1115" i="14"/>
  <c r="A1114" i="14"/>
  <c r="A1113" i="14"/>
  <c r="A1112" i="14"/>
  <c r="A1111" i="14"/>
  <c r="A1110" i="14"/>
  <c r="A1109" i="14"/>
  <c r="A1108" i="14"/>
  <c r="A1107" i="14"/>
  <c r="A1106" i="14"/>
  <c r="A1105" i="14"/>
  <c r="A1104" i="14"/>
  <c r="A1103" i="14"/>
  <c r="A1102" i="14"/>
  <c r="A1101" i="14"/>
  <c r="A1100" i="14"/>
  <c r="A1099" i="14"/>
  <c r="A1098" i="14"/>
  <c r="A1097" i="14"/>
  <c r="A1096" i="14"/>
  <c r="A1095" i="14"/>
  <c r="A1094" i="14"/>
  <c r="A1093" i="14"/>
  <c r="A1092" i="14"/>
  <c r="A1091" i="14"/>
  <c r="A1090" i="14"/>
  <c r="A1089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A1076" i="14"/>
  <c r="A1075" i="14"/>
  <c r="A1074" i="14"/>
  <c r="A1073" i="14"/>
  <c r="A1072" i="14"/>
  <c r="A1071" i="14"/>
  <c r="A1070" i="14"/>
  <c r="A1069" i="14"/>
  <c r="A1068" i="14"/>
  <c r="A1067" i="14"/>
  <c r="A1066" i="14"/>
  <c r="A1065" i="14"/>
  <c r="A1064" i="14"/>
  <c r="A1063" i="14"/>
  <c r="A1062" i="14"/>
  <c r="A1061" i="14"/>
  <c r="A1060" i="14"/>
  <c r="A1059" i="14"/>
  <c r="A1058" i="14"/>
  <c r="A1057" i="14"/>
  <c r="A1056" i="14"/>
  <c r="A1055" i="14"/>
  <c r="A1054" i="14"/>
  <c r="A1053" i="14"/>
  <c r="A1052" i="14"/>
  <c r="A1051" i="14"/>
  <c r="A1050" i="14"/>
  <c r="A1049" i="14"/>
  <c r="A1048" i="14"/>
  <c r="A1047" i="14"/>
  <c r="A1046" i="14"/>
  <c r="A1045" i="14"/>
  <c r="A1044" i="14"/>
  <c r="A1043" i="14"/>
  <c r="A1042" i="14"/>
  <c r="A1041" i="14"/>
  <c r="A1040" i="14"/>
  <c r="A1039" i="14"/>
  <c r="A1038" i="14"/>
  <c r="A1037" i="14"/>
  <c r="A1036" i="14"/>
  <c r="A1035" i="14"/>
  <c r="A1034" i="14"/>
  <c r="A1033" i="14"/>
  <c r="A1032" i="14"/>
  <c r="A1031" i="14"/>
  <c r="A1030" i="14"/>
  <c r="A1029" i="14"/>
  <c r="A1028" i="14"/>
  <c r="A1027" i="14"/>
  <c r="A1026" i="14"/>
  <c r="A1025" i="14"/>
  <c r="A1024" i="14"/>
  <c r="A1023" i="14"/>
  <c r="A1022" i="14"/>
  <c r="A1021" i="14"/>
  <c r="A1020" i="14"/>
  <c r="A1019" i="14"/>
  <c r="A1018" i="14"/>
  <c r="A1017" i="14"/>
  <c r="A1016" i="14"/>
  <c r="A1015" i="14"/>
  <c r="A1014" i="14"/>
  <c r="A1013" i="14"/>
  <c r="A1012" i="14"/>
  <c r="A1011" i="14"/>
  <c r="A1010" i="14"/>
  <c r="A1009" i="14"/>
  <c r="A1008" i="14"/>
  <c r="A1007" i="14"/>
  <c r="A1006" i="14"/>
  <c r="A1005" i="14"/>
  <c r="A1004" i="14"/>
  <c r="A1003" i="14"/>
  <c r="A1002" i="14"/>
  <c r="A1001" i="14"/>
  <c r="A1000" i="14"/>
  <c r="A999" i="14"/>
  <c r="A998" i="14"/>
  <c r="A997" i="14"/>
  <c r="A996" i="14"/>
  <c r="A995" i="14"/>
  <c r="A994" i="14"/>
  <c r="A993" i="14"/>
  <c r="A992" i="14"/>
  <c r="A991" i="14"/>
  <c r="A990" i="14"/>
  <c r="A989" i="14"/>
  <c r="A988" i="14"/>
  <c r="A987" i="14"/>
  <c r="A986" i="14"/>
  <c r="A985" i="14"/>
  <c r="A984" i="14"/>
  <c r="A983" i="14"/>
  <c r="A982" i="14"/>
  <c r="A981" i="14"/>
  <c r="A980" i="14"/>
  <c r="A979" i="14"/>
  <c r="A978" i="14"/>
  <c r="A977" i="14"/>
  <c r="A976" i="14"/>
  <c r="A975" i="14"/>
  <c r="A974" i="14"/>
  <c r="A973" i="14"/>
  <c r="A972" i="14"/>
  <c r="A971" i="14"/>
  <c r="A970" i="14"/>
  <c r="A969" i="14"/>
  <c r="A968" i="14"/>
  <c r="A967" i="14"/>
  <c r="A966" i="14"/>
  <c r="A965" i="14"/>
  <c r="A964" i="14"/>
  <c r="A963" i="14"/>
  <c r="A962" i="14"/>
  <c r="A961" i="14"/>
  <c r="A960" i="14"/>
  <c r="A959" i="14"/>
  <c r="A958" i="14"/>
  <c r="A957" i="14"/>
  <c r="A956" i="14"/>
  <c r="A955" i="14"/>
  <c r="A954" i="14"/>
  <c r="A953" i="14"/>
  <c r="A952" i="14"/>
  <c r="A951" i="14"/>
  <c r="A950" i="14"/>
  <c r="A949" i="14"/>
  <c r="A948" i="14"/>
  <c r="A947" i="14"/>
  <c r="A946" i="14"/>
  <c r="A945" i="14"/>
  <c r="A944" i="14"/>
  <c r="A943" i="14"/>
  <c r="A942" i="14"/>
  <c r="A941" i="14"/>
  <c r="A940" i="14"/>
  <c r="A939" i="14"/>
  <c r="A938" i="14"/>
  <c r="A937" i="14"/>
  <c r="A936" i="14"/>
  <c r="A935" i="14"/>
  <c r="A934" i="14"/>
  <c r="A933" i="14"/>
  <c r="A932" i="14"/>
  <c r="A931" i="14"/>
  <c r="A930" i="14"/>
  <c r="A929" i="14"/>
  <c r="A928" i="14"/>
  <c r="A927" i="14"/>
  <c r="A926" i="14"/>
  <c r="A925" i="14"/>
  <c r="A924" i="14"/>
  <c r="A923" i="14"/>
  <c r="A922" i="14"/>
  <c r="A921" i="14"/>
  <c r="A920" i="14"/>
  <c r="A919" i="14"/>
  <c r="A918" i="14"/>
  <c r="A917" i="14"/>
  <c r="A916" i="14"/>
  <c r="A915" i="14"/>
  <c r="A914" i="14"/>
  <c r="A913" i="14"/>
  <c r="A912" i="14"/>
  <c r="A910" i="14"/>
  <c r="A909" i="14"/>
  <c r="A908" i="14"/>
  <c r="A907" i="14"/>
  <c r="A906" i="14"/>
  <c r="A905" i="14"/>
  <c r="A904" i="14"/>
  <c r="A903" i="14"/>
  <c r="A902" i="14"/>
  <c r="A901" i="14"/>
  <c r="A900" i="14"/>
  <c r="A899" i="14"/>
  <c r="A898" i="14"/>
  <c r="A897" i="14"/>
  <c r="A896" i="14"/>
  <c r="A895" i="14"/>
  <c r="A894" i="14"/>
  <c r="A893" i="14"/>
  <c r="A892" i="14"/>
  <c r="A891" i="14"/>
  <c r="A890" i="14"/>
  <c r="A889" i="14"/>
  <c r="A888" i="14"/>
  <c r="A887" i="14"/>
  <c r="A886" i="14"/>
  <c r="A885" i="14"/>
  <c r="A884" i="14"/>
  <c r="A883" i="14"/>
  <c r="A882" i="14"/>
  <c r="A881" i="14"/>
  <c r="A880" i="14"/>
  <c r="A879" i="14"/>
  <c r="A878" i="14"/>
  <c r="A877" i="14"/>
  <c r="A876" i="14"/>
  <c r="A875" i="14"/>
  <c r="A874" i="14"/>
  <c r="A873" i="14"/>
  <c r="A872" i="14"/>
  <c r="A871" i="14"/>
  <c r="A870" i="14"/>
  <c r="A869" i="14"/>
  <c r="A868" i="14"/>
  <c r="A867" i="14"/>
  <c r="A866" i="14"/>
  <c r="A865" i="14"/>
  <c r="A864" i="14"/>
  <c r="A863" i="14"/>
  <c r="A862" i="14"/>
  <c r="A861" i="14"/>
  <c r="A860" i="14"/>
  <c r="A859" i="14"/>
  <c r="A858" i="14"/>
  <c r="A857" i="14"/>
  <c r="A856" i="14"/>
  <c r="A855" i="14"/>
  <c r="A854" i="14"/>
  <c r="A853" i="14"/>
  <c r="A852" i="14"/>
  <c r="A851" i="14"/>
  <c r="A850" i="14"/>
  <c r="A849" i="14"/>
  <c r="A848" i="14"/>
  <c r="A847" i="14"/>
  <c r="A846" i="14"/>
  <c r="A845" i="14"/>
  <c r="A844" i="14"/>
  <c r="A843" i="14"/>
  <c r="A842" i="14"/>
  <c r="A841" i="14"/>
  <c r="A840" i="14"/>
  <c r="A839" i="14"/>
  <c r="A838" i="14"/>
  <c r="A837" i="14"/>
  <c r="A836" i="14"/>
  <c r="A835" i="14"/>
  <c r="A834" i="14"/>
  <c r="A833" i="14"/>
  <c r="A832" i="14"/>
  <c r="A831" i="14"/>
  <c r="A830" i="14"/>
  <c r="A829" i="14"/>
  <c r="A828" i="14"/>
  <c r="A827" i="14"/>
  <c r="A826" i="14"/>
  <c r="A825" i="14"/>
  <c r="A824" i="14"/>
  <c r="A823" i="14"/>
  <c r="A822" i="14"/>
  <c r="A821" i="14"/>
  <c r="A820" i="14"/>
  <c r="A819" i="14"/>
  <c r="A818" i="14"/>
  <c r="A817" i="14"/>
  <c r="A816" i="14"/>
  <c r="A815" i="14"/>
  <c r="A814" i="14"/>
  <c r="A813" i="14"/>
  <c r="A812" i="14"/>
  <c r="A811" i="14"/>
  <c r="A810" i="14"/>
  <c r="A809" i="14"/>
  <c r="A808" i="14"/>
  <c r="A807" i="14"/>
  <c r="A806" i="14"/>
  <c r="A805" i="14"/>
  <c r="A804" i="14"/>
  <c r="A803" i="14"/>
  <c r="A802" i="14"/>
  <c r="A801" i="14"/>
  <c r="A800" i="14"/>
  <c r="A799" i="14"/>
  <c r="A798" i="14"/>
  <c r="A797" i="14"/>
  <c r="A796" i="14"/>
  <c r="A795" i="14"/>
  <c r="A794" i="14"/>
  <c r="A793" i="14"/>
  <c r="A792" i="14"/>
  <c r="A791" i="14"/>
  <c r="A790" i="14"/>
  <c r="A789" i="14"/>
  <c r="A788" i="14"/>
  <c r="A787" i="14"/>
  <c r="A786" i="14"/>
  <c r="A785" i="14"/>
  <c r="A784" i="14"/>
  <c r="A783" i="14"/>
  <c r="A782" i="14"/>
  <c r="A781" i="14"/>
  <c r="A780" i="14"/>
  <c r="A779" i="14"/>
  <c r="A778" i="14"/>
  <c r="A777" i="14"/>
  <c r="A776" i="14"/>
  <c r="A775" i="14"/>
  <c r="A774" i="14"/>
  <c r="A773" i="14"/>
  <c r="A772" i="14"/>
  <c r="A771" i="14"/>
  <c r="A770" i="14"/>
  <c r="A769" i="14"/>
  <c r="A768" i="14"/>
  <c r="A767" i="14"/>
  <c r="A766" i="14"/>
  <c r="A765" i="14"/>
  <c r="A764" i="14"/>
  <c r="A763" i="14"/>
  <c r="A762" i="14"/>
  <c r="A761" i="14"/>
  <c r="A760" i="14"/>
  <c r="A759" i="14"/>
  <c r="A758" i="14"/>
  <c r="A757" i="14"/>
  <c r="A756" i="14"/>
  <c r="A755" i="14"/>
  <c r="A754" i="14"/>
  <c r="A753" i="14"/>
  <c r="A752" i="14"/>
  <c r="A751" i="14"/>
  <c r="A750" i="14"/>
  <c r="A749" i="14"/>
  <c r="A748" i="14"/>
  <c r="A747" i="14"/>
  <c r="A746" i="14"/>
  <c r="A745" i="14"/>
  <c r="A744" i="14"/>
  <c r="A743" i="14"/>
  <c r="A742" i="14"/>
  <c r="A741" i="14"/>
  <c r="A740" i="14"/>
  <c r="A739" i="14"/>
  <c r="A738" i="14"/>
  <c r="A737" i="14"/>
  <c r="A736" i="14"/>
  <c r="A735" i="14"/>
  <c r="A734" i="14"/>
  <c r="A733" i="14"/>
  <c r="A732" i="14"/>
  <c r="A731" i="14"/>
  <c r="A730" i="14"/>
  <c r="A729" i="14"/>
  <c r="A728" i="14"/>
  <c r="A727" i="14"/>
  <c r="A726" i="14"/>
  <c r="A725" i="14"/>
  <c r="A724" i="14"/>
  <c r="A723" i="14"/>
  <c r="A722" i="14"/>
  <c r="A721" i="14"/>
  <c r="A720" i="14"/>
  <c r="A719" i="14"/>
  <c r="A718" i="14"/>
  <c r="A717" i="14"/>
  <c r="A716" i="14"/>
  <c r="A715" i="14"/>
  <c r="A714" i="14"/>
  <c r="A713" i="14"/>
  <c r="A712" i="14"/>
  <c r="A711" i="14"/>
  <c r="A710" i="14"/>
  <c r="A709" i="14"/>
  <c r="A708" i="14"/>
  <c r="A707" i="14"/>
  <c r="A706" i="14"/>
  <c r="A705" i="14"/>
  <c r="A704" i="14"/>
  <c r="A703" i="14"/>
  <c r="A702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A687" i="14"/>
  <c r="A686" i="14"/>
  <c r="A685" i="14"/>
  <c r="A684" i="14"/>
  <c r="A683" i="14"/>
  <c r="A682" i="14"/>
  <c r="A681" i="14"/>
  <c r="A680" i="14"/>
  <c r="A679" i="14"/>
  <c r="A678" i="14"/>
  <c r="A677" i="14"/>
  <c r="A676" i="14"/>
  <c r="A675" i="14"/>
  <c r="A674" i="14"/>
  <c r="A673" i="14"/>
  <c r="A672" i="14"/>
  <c r="A671" i="14"/>
  <c r="A670" i="14"/>
  <c r="A669" i="14"/>
  <c r="A668" i="14"/>
  <c r="A667" i="14"/>
  <c r="A666" i="14"/>
  <c r="A665" i="14"/>
  <c r="A664" i="14"/>
  <c r="A663" i="14"/>
  <c r="A662" i="14"/>
  <c r="A661" i="14"/>
  <c r="A660" i="14"/>
  <c r="A659" i="14"/>
  <c r="A658" i="14"/>
  <c r="A657" i="14"/>
  <c r="A656" i="14"/>
  <c r="A655" i="14"/>
  <c r="A654" i="14"/>
  <c r="A653" i="14"/>
  <c r="A652" i="14"/>
  <c r="A651" i="14"/>
  <c r="A650" i="14"/>
  <c r="A649" i="14"/>
  <c r="A648" i="14"/>
  <c r="A647" i="14"/>
  <c r="A646" i="14"/>
  <c r="A645" i="14"/>
  <c r="A644" i="14"/>
  <c r="A643" i="14"/>
  <c r="A642" i="14"/>
  <c r="A641" i="14"/>
  <c r="A640" i="14"/>
  <c r="A639" i="14"/>
  <c r="A638" i="14"/>
  <c r="A637" i="14"/>
  <c r="A636" i="14"/>
  <c r="A635" i="14"/>
  <c r="A634" i="14"/>
  <c r="A633" i="14"/>
  <c r="A632" i="14"/>
  <c r="A631" i="14"/>
  <c r="A630" i="14"/>
  <c r="A629" i="14"/>
  <c r="A628" i="14"/>
  <c r="A627" i="14"/>
  <c r="A62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A613" i="14"/>
  <c r="A612" i="14"/>
  <c r="A611" i="14"/>
  <c r="A610" i="14"/>
  <c r="A609" i="14"/>
  <c r="A608" i="14"/>
  <c r="A607" i="14"/>
  <c r="A606" i="14"/>
  <c r="A605" i="14"/>
  <c r="A604" i="14"/>
  <c r="A603" i="14"/>
  <c r="A602" i="14"/>
  <c r="A601" i="14"/>
  <c r="A600" i="14"/>
  <c r="A599" i="14"/>
  <c r="A598" i="14"/>
  <c r="A597" i="14"/>
  <c r="A596" i="14"/>
  <c r="A595" i="14"/>
  <c r="A594" i="14"/>
  <c r="A593" i="14"/>
  <c r="A592" i="14"/>
  <c r="A591" i="14"/>
  <c r="A590" i="14"/>
  <c r="A589" i="14"/>
  <c r="A588" i="14"/>
  <c r="A587" i="14"/>
  <c r="A586" i="14"/>
  <c r="A585" i="14"/>
  <c r="A584" i="14"/>
  <c r="A583" i="14"/>
  <c r="A582" i="14"/>
  <c r="A581" i="14"/>
  <c r="A580" i="14"/>
  <c r="A579" i="14"/>
  <c r="A578" i="14"/>
  <c r="A577" i="14"/>
  <c r="A576" i="14"/>
  <c r="A575" i="14"/>
  <c r="A574" i="14"/>
  <c r="A573" i="14"/>
  <c r="A572" i="14"/>
  <c r="A571" i="14"/>
  <c r="A570" i="14"/>
  <c r="A569" i="14"/>
  <c r="A568" i="14"/>
  <c r="A567" i="14"/>
  <c r="A566" i="14"/>
  <c r="A565" i="14"/>
  <c r="A564" i="14"/>
  <c r="A563" i="14"/>
  <c r="A562" i="14"/>
  <c r="A561" i="14"/>
  <c r="A560" i="14"/>
  <c r="A559" i="14"/>
  <c r="A558" i="14"/>
  <c r="A557" i="14"/>
  <c r="A556" i="14"/>
  <c r="A555" i="14"/>
  <c r="A554" i="14"/>
  <c r="A553" i="14"/>
  <c r="A552" i="14"/>
  <c r="A551" i="14"/>
  <c r="A550" i="14"/>
  <c r="A549" i="14"/>
  <c r="A548" i="14"/>
  <c r="A547" i="14"/>
  <c r="A546" i="14"/>
  <c r="A545" i="14"/>
  <c r="A544" i="14"/>
  <c r="A543" i="14"/>
  <c r="A542" i="14"/>
  <c r="A541" i="14"/>
  <c r="A540" i="14"/>
  <c r="A539" i="14"/>
  <c r="A538" i="14"/>
  <c r="A537" i="14"/>
  <c r="A536" i="14"/>
  <c r="A535" i="14"/>
  <c r="A534" i="14"/>
  <c r="A533" i="14"/>
  <c r="A532" i="14"/>
  <c r="A531" i="14"/>
  <c r="A530" i="14"/>
  <c r="A529" i="14"/>
  <c r="A528" i="14"/>
  <c r="A527" i="14"/>
  <c r="A526" i="14"/>
  <c r="A525" i="14"/>
  <c r="A524" i="14"/>
  <c r="A523" i="14"/>
  <c r="A522" i="14"/>
  <c r="A521" i="14"/>
  <c r="A520" i="14"/>
  <c r="A519" i="14"/>
  <c r="A518" i="14"/>
  <c r="A517" i="14"/>
  <c r="A516" i="14"/>
  <c r="A515" i="14"/>
  <c r="A514" i="14"/>
  <c r="A513" i="14"/>
  <c r="A512" i="14"/>
  <c r="A511" i="14"/>
  <c r="A510" i="14"/>
  <c r="A509" i="14"/>
  <c r="A508" i="14"/>
  <c r="A507" i="14"/>
  <c r="A506" i="14"/>
  <c r="A505" i="14"/>
  <c r="A504" i="14"/>
  <c r="A503" i="14"/>
  <c r="A502" i="14"/>
  <c r="A501" i="14"/>
  <c r="A500" i="14"/>
  <c r="A499" i="14"/>
  <c r="A498" i="14"/>
  <c r="A497" i="14"/>
  <c r="A496" i="14"/>
  <c r="A495" i="14"/>
  <c r="A494" i="14"/>
  <c r="A493" i="14"/>
  <c r="A492" i="14"/>
  <c r="A491" i="14"/>
  <c r="A490" i="14"/>
  <c r="A489" i="14"/>
  <c r="A488" i="14"/>
  <c r="A487" i="14"/>
  <c r="A486" i="14"/>
  <c r="A485" i="14"/>
  <c r="A484" i="14"/>
  <c r="A483" i="14"/>
  <c r="A482" i="14"/>
  <c r="A481" i="14"/>
  <c r="A480" i="14"/>
  <c r="A479" i="14"/>
  <c r="A478" i="14"/>
  <c r="A477" i="14"/>
  <c r="A476" i="14"/>
  <c r="A475" i="14"/>
  <c r="A474" i="14"/>
  <c r="A473" i="14"/>
  <c r="A472" i="14"/>
  <c r="A471" i="14"/>
  <c r="A470" i="14"/>
  <c r="A469" i="14"/>
  <c r="A468" i="14"/>
  <c r="A467" i="14"/>
  <c r="A466" i="14"/>
  <c r="A465" i="14"/>
  <c r="A464" i="14"/>
  <c r="A463" i="14"/>
  <c r="A462" i="14"/>
  <c r="A461" i="14"/>
  <c r="A459" i="14"/>
  <c r="A458" i="14"/>
  <c r="A457" i="14"/>
  <c r="A456" i="14"/>
  <c r="A455" i="14"/>
  <c r="A454" i="14"/>
  <c r="A453" i="14"/>
  <c r="A452" i="14"/>
  <c r="A451" i="14"/>
  <c r="A450" i="14"/>
  <c r="A449" i="14"/>
  <c r="A448" i="14"/>
  <c r="A447" i="14"/>
  <c r="A446" i="14"/>
  <c r="A445" i="14"/>
  <c r="A444" i="14"/>
  <c r="A443" i="14"/>
  <c r="A442" i="14"/>
  <c r="A441" i="14"/>
  <c r="A440" i="14"/>
  <c r="A439" i="14"/>
  <c r="A438" i="14"/>
  <c r="A437" i="14"/>
  <c r="A436" i="14"/>
  <c r="A435" i="14"/>
  <c r="A434" i="14"/>
  <c r="A433" i="14"/>
  <c r="A432" i="14"/>
  <c r="A431" i="14"/>
  <c r="A430" i="14"/>
  <c r="A429" i="14"/>
  <c r="A428" i="14"/>
  <c r="A427" i="14"/>
  <c r="A426" i="14"/>
  <c r="A425" i="14"/>
  <c r="A424" i="14"/>
  <c r="A423" i="14"/>
  <c r="A422" i="14"/>
  <c r="A421" i="14"/>
  <c r="A420" i="14"/>
  <c r="A419" i="14"/>
  <c r="A418" i="14"/>
  <c r="A417" i="14"/>
  <c r="A416" i="14"/>
  <c r="A415" i="14"/>
  <c r="A414" i="14"/>
  <c r="A413" i="14"/>
  <c r="A412" i="14"/>
  <c r="A411" i="14"/>
  <c r="A410" i="14"/>
  <c r="A409" i="14"/>
  <c r="A408" i="14"/>
  <c r="A407" i="14"/>
  <c r="A406" i="14"/>
  <c r="A405" i="14"/>
  <c r="A404" i="14"/>
  <c r="A403" i="14"/>
  <c r="A402" i="14"/>
  <c r="A401" i="14"/>
  <c r="A400" i="14"/>
  <c r="A399" i="14"/>
  <c r="A398" i="14"/>
  <c r="A397" i="14"/>
  <c r="A396" i="14"/>
  <c r="A395" i="14"/>
  <c r="A394" i="14"/>
  <c r="A393" i="14"/>
  <c r="A392" i="14"/>
  <c r="A391" i="14"/>
  <c r="A390" i="14"/>
  <c r="A389" i="14"/>
  <c r="A388" i="14"/>
  <c r="A387" i="14"/>
  <c r="A386" i="14"/>
  <c r="A385" i="14"/>
  <c r="A384" i="14"/>
  <c r="A383" i="14"/>
  <c r="A382" i="14"/>
  <c r="A381" i="14"/>
  <c r="A380" i="14"/>
  <c r="A379" i="14"/>
  <c r="A378" i="14"/>
  <c r="A377" i="14"/>
  <c r="A376" i="14"/>
  <c r="A375" i="14"/>
  <c r="A374" i="14"/>
  <c r="A373" i="14"/>
  <c r="A372" i="14"/>
  <c r="A371" i="14"/>
  <c r="A370" i="14"/>
  <c r="A369" i="14"/>
  <c r="A368" i="14"/>
  <c r="A367" i="14"/>
  <c r="A366" i="14"/>
  <c r="A365" i="14"/>
  <c r="A364" i="14"/>
  <c r="A363" i="14"/>
  <c r="A362" i="14"/>
  <c r="A361" i="14"/>
  <c r="A360" i="14"/>
  <c r="A359" i="14"/>
  <c r="A358" i="14"/>
  <c r="A357" i="14"/>
  <c r="A356" i="14"/>
  <c r="A355" i="14"/>
  <c r="A354" i="14"/>
  <c r="A353" i="14"/>
  <c r="A352" i="14"/>
  <c r="A351" i="14"/>
  <c r="A350" i="14"/>
  <c r="A349" i="14"/>
  <c r="A348" i="14"/>
  <c r="A347" i="14"/>
  <c r="A346" i="14"/>
  <c r="A345" i="14"/>
  <c r="A344" i="14"/>
  <c r="A343" i="14"/>
  <c r="A342" i="14"/>
  <c r="A341" i="14"/>
  <c r="A340" i="14"/>
  <c r="A339" i="14"/>
  <c r="A338" i="14"/>
  <c r="A337" i="14"/>
  <c r="A336" i="14"/>
  <c r="A335" i="14"/>
  <c r="A334" i="14"/>
  <c r="A333" i="14"/>
  <c r="A332" i="14"/>
  <c r="A331" i="14"/>
  <c r="A330" i="14"/>
  <c r="A329" i="14"/>
  <c r="A328" i="14"/>
  <c r="A327" i="14"/>
  <c r="A326" i="14"/>
  <c r="A325" i="14"/>
  <c r="A324" i="14"/>
  <c r="A323" i="14"/>
  <c r="A322" i="14"/>
  <c r="A321" i="14"/>
  <c r="A320" i="14"/>
  <c r="A319" i="14"/>
  <c r="A318" i="14"/>
  <c r="A317" i="14"/>
  <c r="A316" i="14"/>
  <c r="A315" i="14"/>
  <c r="A314" i="14"/>
  <c r="A313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G27" i="9"/>
  <c r="H1266" i="14" s="1"/>
  <c r="E27" i="9"/>
  <c r="H1238" i="14" s="1"/>
  <c r="C27" i="9"/>
  <c r="H1210" i="14" s="1"/>
  <c r="H1279" i="14"/>
  <c r="H1265" i="14"/>
  <c r="H1251" i="14"/>
  <c r="H1237" i="14"/>
  <c r="H1223" i="14"/>
  <c r="H1209" i="14"/>
  <c r="H1278" i="14"/>
  <c r="H1264" i="14"/>
  <c r="H1250" i="14"/>
  <c r="H1236" i="14"/>
  <c r="H1222" i="14"/>
  <c r="H1208" i="14"/>
  <c r="I24" i="9"/>
  <c r="H1291" i="14" s="1"/>
  <c r="H1277" i="14"/>
  <c r="H1263" i="14"/>
  <c r="H1249" i="14"/>
  <c r="H1235" i="14"/>
  <c r="H1221" i="14"/>
  <c r="H1207" i="14"/>
  <c r="H1276" i="14"/>
  <c r="H1262" i="14"/>
  <c r="H1248" i="14"/>
  <c r="H1234" i="14"/>
  <c r="H1220" i="14"/>
  <c r="H1206" i="14"/>
  <c r="I22" i="9"/>
  <c r="H1289" i="14" s="1"/>
  <c r="H1275" i="14"/>
  <c r="H1261" i="14"/>
  <c r="H1247" i="14"/>
  <c r="H1233" i="14"/>
  <c r="H1219" i="14"/>
  <c r="H1205" i="14"/>
  <c r="H1274" i="14"/>
  <c r="H1260" i="14"/>
  <c r="H1246" i="14"/>
  <c r="H1232" i="14"/>
  <c r="H1218" i="14"/>
  <c r="H1204" i="14"/>
  <c r="I20" i="9"/>
  <c r="H1287" i="14" s="1"/>
  <c r="H1273" i="14"/>
  <c r="H1259" i="14"/>
  <c r="H1245" i="14"/>
  <c r="H1231" i="14"/>
  <c r="H1217" i="14"/>
  <c r="H1203" i="14"/>
  <c r="H1271" i="14"/>
  <c r="H1257" i="14"/>
  <c r="H1243" i="14"/>
  <c r="H1229" i="14"/>
  <c r="H1215" i="14"/>
  <c r="H1201" i="14"/>
  <c r="H1270" i="14"/>
  <c r="H1256" i="14"/>
  <c r="H1242" i="14"/>
  <c r="H1228" i="14"/>
  <c r="H1214" i="14"/>
  <c r="H1200" i="14"/>
  <c r="H1269" i="14"/>
  <c r="H1255" i="14"/>
  <c r="H1241" i="14"/>
  <c r="H1227" i="14"/>
  <c r="H1213" i="14"/>
  <c r="H1199" i="14"/>
  <c r="H1268" i="14"/>
  <c r="H1254" i="14"/>
  <c r="H1240" i="14"/>
  <c r="H1226" i="14"/>
  <c r="H1212" i="14"/>
  <c r="H1198" i="14"/>
  <c r="H1267" i="14"/>
  <c r="H1253" i="14"/>
  <c r="H1239" i="14"/>
  <c r="H1225" i="14"/>
  <c r="H1211" i="14"/>
  <c r="H1197" i="14"/>
  <c r="H1181" i="14"/>
  <c r="H1185" i="14"/>
  <c r="H1189" i="14"/>
  <c r="H1182" i="14"/>
  <c r="H1186" i="14"/>
  <c r="H1190" i="14"/>
  <c r="H1184" i="14"/>
  <c r="H1188" i="14"/>
  <c r="H1180" i="14"/>
  <c r="H1177" i="14"/>
  <c r="H1091" i="14"/>
  <c r="H1048" i="14"/>
  <c r="H1176" i="14"/>
  <c r="H1090" i="14"/>
  <c r="H1047" i="14"/>
  <c r="H1175" i="14"/>
  <c r="H1089" i="14"/>
  <c r="H1046" i="14"/>
  <c r="H1174" i="14"/>
  <c r="H1088" i="14"/>
  <c r="H1045" i="14"/>
  <c r="H1173" i="14"/>
  <c r="H1087" i="14"/>
  <c r="H1044" i="14"/>
  <c r="H1171" i="14"/>
  <c r="H1085" i="14"/>
  <c r="H1042" i="14"/>
  <c r="H1170" i="14"/>
  <c r="H1084" i="14"/>
  <c r="H1041" i="14"/>
  <c r="H1169" i="14"/>
  <c r="H1083" i="14"/>
  <c r="H1040" i="14"/>
  <c r="H1168" i="14"/>
  <c r="H1082" i="14"/>
  <c r="H1039" i="14"/>
  <c r="H1166" i="14"/>
  <c r="H1080" i="14"/>
  <c r="H1037" i="14"/>
  <c r="H1165" i="14"/>
  <c r="H1079" i="14"/>
  <c r="H1036" i="14"/>
  <c r="H1164" i="14"/>
  <c r="H1078" i="14"/>
  <c r="H1035" i="14"/>
  <c r="H1163" i="14"/>
  <c r="H1077" i="14"/>
  <c r="H1034" i="14"/>
  <c r="H1161" i="14"/>
  <c r="H1075" i="14"/>
  <c r="H1032" i="14"/>
  <c r="H1160" i="14"/>
  <c r="H1074" i="14"/>
  <c r="H1031" i="14"/>
  <c r="H1159" i="14"/>
  <c r="H1073" i="14"/>
  <c r="H1030" i="14"/>
  <c r="H1158" i="14"/>
  <c r="H1072" i="14"/>
  <c r="H1029" i="14"/>
  <c r="H1156" i="14"/>
  <c r="H1070" i="14"/>
  <c r="H1027" i="14"/>
  <c r="H1155" i="14"/>
  <c r="H1069" i="14"/>
  <c r="H1026" i="14"/>
  <c r="H1154" i="14"/>
  <c r="H1068" i="14"/>
  <c r="H1025" i="14"/>
  <c r="H1152" i="14"/>
  <c r="H1066" i="14"/>
  <c r="H1023" i="14"/>
  <c r="H1150" i="14"/>
  <c r="H1064" i="14"/>
  <c r="H1021" i="14"/>
  <c r="H1149" i="14"/>
  <c r="H1063" i="14"/>
  <c r="H1020" i="14"/>
  <c r="H1148" i="14"/>
  <c r="H1062" i="14"/>
  <c r="H1019" i="14"/>
  <c r="H1147" i="14"/>
  <c r="H1061" i="14"/>
  <c r="H1018" i="14"/>
  <c r="H1146" i="14"/>
  <c r="H1060" i="14"/>
  <c r="H1017" i="14"/>
  <c r="H1145" i="14"/>
  <c r="H1059" i="14"/>
  <c r="H1016" i="14"/>
  <c r="H1144" i="14"/>
  <c r="H1058" i="14"/>
  <c r="H1015" i="14"/>
  <c r="H1143" i="14"/>
  <c r="H1057" i="14"/>
  <c r="H1014" i="14"/>
  <c r="H1142" i="14"/>
  <c r="H1056" i="14"/>
  <c r="H1013" i="14"/>
  <c r="H1140" i="14"/>
  <c r="H1054" i="14"/>
  <c r="H1011" i="14"/>
  <c r="H1139" i="14"/>
  <c r="H1053" i="14"/>
  <c r="H1010" i="14"/>
  <c r="H1138" i="14"/>
  <c r="H1052" i="14"/>
  <c r="H1009" i="14"/>
  <c r="H944" i="14"/>
  <c r="H973" i="14"/>
  <c r="H941" i="14"/>
  <c r="H972" i="14"/>
  <c r="H940" i="14"/>
  <c r="H971" i="14"/>
  <c r="H939" i="14"/>
  <c r="H970" i="14"/>
  <c r="H938" i="14"/>
  <c r="H968" i="14"/>
  <c r="H936" i="14"/>
  <c r="H967" i="14"/>
  <c r="H935" i="14"/>
  <c r="H966" i="14"/>
  <c r="H934" i="14"/>
  <c r="H965" i="14"/>
  <c r="H933" i="14"/>
  <c r="H963" i="14"/>
  <c r="H931" i="14"/>
  <c r="H962" i="14"/>
  <c r="H930" i="14"/>
  <c r="H961" i="14"/>
  <c r="H929" i="14"/>
  <c r="H960" i="14"/>
  <c r="H928" i="14"/>
  <c r="H959" i="14"/>
  <c r="H927" i="14"/>
  <c r="H958" i="14"/>
  <c r="H926" i="14"/>
  <c r="H957" i="14"/>
  <c r="H925" i="14"/>
  <c r="H956" i="14"/>
  <c r="H924" i="14"/>
  <c r="H954" i="14"/>
  <c r="H922" i="14"/>
  <c r="H952" i="14"/>
  <c r="H920" i="14"/>
  <c r="H951" i="14"/>
  <c r="H919" i="14"/>
  <c r="H949" i="14"/>
  <c r="H917" i="14"/>
  <c r="H948" i="14"/>
  <c r="H916" i="14"/>
  <c r="H947" i="14"/>
  <c r="H915" i="14"/>
  <c r="H946" i="14"/>
  <c r="H914" i="14"/>
  <c r="H912" i="14"/>
  <c r="H849" i="14"/>
  <c r="H819" i="14"/>
  <c r="H759" i="14"/>
  <c r="H729" i="14"/>
  <c r="H699" i="14"/>
  <c r="H639" i="14"/>
  <c r="H609" i="14"/>
  <c r="G41" i="6"/>
  <c r="H579" i="14" s="1"/>
  <c r="H549" i="14"/>
  <c r="H519" i="14"/>
  <c r="H489" i="14"/>
  <c r="H847" i="14"/>
  <c r="H817" i="14"/>
  <c r="H757" i="14"/>
  <c r="H727" i="14"/>
  <c r="H697" i="14"/>
  <c r="H637" i="14"/>
  <c r="H607" i="14"/>
  <c r="G39" i="6"/>
  <c r="H577" i="14" s="1"/>
  <c r="H547" i="14"/>
  <c r="H517" i="14"/>
  <c r="H487" i="14"/>
  <c r="H846" i="14"/>
  <c r="H816" i="14"/>
  <c r="N38" i="6"/>
  <c r="H786" i="14" s="1"/>
  <c r="H756" i="14"/>
  <c r="H726" i="14"/>
  <c r="H696" i="14"/>
  <c r="H636" i="14"/>
  <c r="H606" i="14"/>
  <c r="H546" i="14"/>
  <c r="H516" i="14"/>
  <c r="H486" i="14"/>
  <c r="H845" i="14"/>
  <c r="H815" i="14"/>
  <c r="H755" i="14"/>
  <c r="H725" i="14"/>
  <c r="H695" i="14"/>
  <c r="H635" i="14"/>
  <c r="H605" i="14"/>
  <c r="G37" i="6"/>
  <c r="H575" i="14" s="1"/>
  <c r="H545" i="14"/>
  <c r="H515" i="14"/>
  <c r="H485" i="14"/>
  <c r="H844" i="14"/>
  <c r="H814" i="14"/>
  <c r="N36" i="6"/>
  <c r="H784" i="14" s="1"/>
  <c r="H754" i="14"/>
  <c r="H724" i="14"/>
  <c r="H694" i="14"/>
  <c r="H634" i="14"/>
  <c r="H604" i="14"/>
  <c r="H544" i="14"/>
  <c r="H514" i="14"/>
  <c r="H484" i="14"/>
  <c r="H843" i="14"/>
  <c r="H813" i="14"/>
  <c r="H753" i="14"/>
  <c r="H723" i="14"/>
  <c r="H693" i="14"/>
  <c r="H633" i="14"/>
  <c r="H603" i="14"/>
  <c r="G35" i="6"/>
  <c r="H573" i="14" s="1"/>
  <c r="H543" i="14"/>
  <c r="H513" i="14"/>
  <c r="H483" i="14"/>
  <c r="P34" i="6"/>
  <c r="H842" i="14" s="1"/>
  <c r="H34" i="6"/>
  <c r="H602" i="14" s="1"/>
  <c r="H841" i="14"/>
  <c r="H811" i="14"/>
  <c r="H751" i="14"/>
  <c r="H721" i="14"/>
  <c r="H691" i="14"/>
  <c r="H631" i="14"/>
  <c r="H601" i="14"/>
  <c r="G33" i="6"/>
  <c r="H571" i="14" s="1"/>
  <c r="H541" i="14"/>
  <c r="H511" i="14"/>
  <c r="H481" i="14"/>
  <c r="H840" i="14"/>
  <c r="H810" i="14"/>
  <c r="N32" i="6"/>
  <c r="H780" i="14" s="1"/>
  <c r="H750" i="14"/>
  <c r="H720" i="14"/>
  <c r="H690" i="14"/>
  <c r="H630" i="14"/>
  <c r="H600" i="14"/>
  <c r="H540" i="14"/>
  <c r="H510" i="14"/>
  <c r="H480" i="14"/>
  <c r="H839" i="14"/>
  <c r="H809" i="14"/>
  <c r="H749" i="14"/>
  <c r="H719" i="14"/>
  <c r="H689" i="14"/>
  <c r="H629" i="14"/>
  <c r="H599" i="14"/>
  <c r="G31" i="6"/>
  <c r="H569" i="14" s="1"/>
  <c r="H539" i="14"/>
  <c r="H509" i="14"/>
  <c r="H479" i="14"/>
  <c r="H838" i="14"/>
  <c r="H808" i="14"/>
  <c r="N30" i="6"/>
  <c r="Q30" i="6" s="1"/>
  <c r="H868" i="14" s="1"/>
  <c r="H748" i="14"/>
  <c r="H718" i="14"/>
  <c r="H688" i="14"/>
  <c r="H628" i="14"/>
  <c r="H598" i="14"/>
  <c r="H538" i="14"/>
  <c r="H508" i="14"/>
  <c r="H478" i="14"/>
  <c r="O29" i="6"/>
  <c r="H807" i="14" s="1"/>
  <c r="K29" i="6"/>
  <c r="H687" i="14" s="1"/>
  <c r="E29" i="6"/>
  <c r="H507" i="14" s="1"/>
  <c r="P27" i="6"/>
  <c r="H836" i="14" s="1"/>
  <c r="L27" i="6"/>
  <c r="H716" i="14" s="1"/>
  <c r="H27" i="6"/>
  <c r="H596" i="14" s="1"/>
  <c r="F27" i="6"/>
  <c r="H536" i="14" s="1"/>
  <c r="D27" i="6"/>
  <c r="H476" i="14" s="1"/>
  <c r="H835" i="14"/>
  <c r="H805" i="14"/>
  <c r="H745" i="14"/>
  <c r="H715" i="14"/>
  <c r="H685" i="14"/>
  <c r="H625" i="14"/>
  <c r="H595" i="14"/>
  <c r="H535" i="14"/>
  <c r="H505" i="14"/>
  <c r="H475" i="14"/>
  <c r="H834" i="14"/>
  <c r="H804" i="14"/>
  <c r="N25" i="6"/>
  <c r="H774" i="14" s="1"/>
  <c r="H744" i="14"/>
  <c r="H714" i="14"/>
  <c r="H684" i="14"/>
  <c r="H624" i="14"/>
  <c r="H594" i="14"/>
  <c r="H534" i="14"/>
  <c r="H504" i="14"/>
  <c r="H474" i="14"/>
  <c r="H833" i="14"/>
  <c r="H803" i="14"/>
  <c r="H743" i="14"/>
  <c r="H713" i="14"/>
  <c r="H683" i="14"/>
  <c r="H623" i="14"/>
  <c r="H593" i="14"/>
  <c r="H533" i="14"/>
  <c r="H503" i="14"/>
  <c r="H473" i="14"/>
  <c r="H832" i="14"/>
  <c r="H802" i="14"/>
  <c r="H742" i="14"/>
  <c r="H712" i="14"/>
  <c r="H682" i="14"/>
  <c r="H622" i="14"/>
  <c r="H592" i="14"/>
  <c r="H532" i="14"/>
  <c r="H502" i="14"/>
  <c r="H472" i="14"/>
  <c r="H831" i="14"/>
  <c r="H801" i="14"/>
  <c r="H741" i="14"/>
  <c r="H711" i="14"/>
  <c r="H681" i="14"/>
  <c r="H621" i="14"/>
  <c r="H591" i="14"/>
  <c r="H531" i="14"/>
  <c r="H501" i="14"/>
  <c r="H471" i="14"/>
  <c r="H830" i="14"/>
  <c r="H800" i="14"/>
  <c r="N20" i="6"/>
  <c r="H770" i="14" s="1"/>
  <c r="H740" i="14"/>
  <c r="H710" i="14"/>
  <c r="H680" i="14"/>
  <c r="H620" i="14"/>
  <c r="H590" i="14"/>
  <c r="H530" i="14"/>
  <c r="H500" i="14"/>
  <c r="H470" i="14"/>
  <c r="M19" i="6"/>
  <c r="H739" i="14" s="1"/>
  <c r="I19" i="6"/>
  <c r="H619" i="14" s="1"/>
  <c r="E19" i="6"/>
  <c r="H499" i="14" s="1"/>
  <c r="H828" i="14"/>
  <c r="H798" i="14"/>
  <c r="N18" i="6"/>
  <c r="H768" i="14" s="1"/>
  <c r="H738" i="14"/>
  <c r="H708" i="14"/>
  <c r="H678" i="14"/>
  <c r="G18" i="6"/>
  <c r="J18" i="6" s="1"/>
  <c r="H618" i="14"/>
  <c r="H588" i="14"/>
  <c r="H528" i="14"/>
  <c r="H498" i="14"/>
  <c r="H468" i="14"/>
  <c r="N17" i="6"/>
  <c r="Q17" i="6" s="1"/>
  <c r="H857" i="14" s="1"/>
  <c r="H827" i="14"/>
  <c r="H797" i="14"/>
  <c r="H737" i="14"/>
  <c r="H707" i="14"/>
  <c r="H677" i="14"/>
  <c r="H617" i="14"/>
  <c r="H587" i="14"/>
  <c r="G17" i="6"/>
  <c r="H557" i="14" s="1"/>
  <c r="H527" i="14"/>
  <c r="H497" i="14"/>
  <c r="H467" i="14"/>
  <c r="H826" i="14"/>
  <c r="H796" i="14"/>
  <c r="N16" i="6"/>
  <c r="H766" i="14" s="1"/>
  <c r="H736" i="14"/>
  <c r="H706" i="14"/>
  <c r="H676" i="14"/>
  <c r="H616" i="14"/>
  <c r="H586" i="14"/>
  <c r="H526" i="14"/>
  <c r="H496" i="14"/>
  <c r="H466" i="14"/>
  <c r="H825" i="14"/>
  <c r="H795" i="14"/>
  <c r="H735" i="14"/>
  <c r="H705" i="14"/>
  <c r="H675" i="14"/>
  <c r="H615" i="14"/>
  <c r="H585" i="14"/>
  <c r="G15" i="6"/>
  <c r="H555" i="14" s="1"/>
  <c r="H525" i="14"/>
  <c r="H495" i="14"/>
  <c r="H465" i="14"/>
  <c r="H824" i="14"/>
  <c r="H794" i="14"/>
  <c r="N14" i="6"/>
  <c r="H734" i="14"/>
  <c r="H704" i="14"/>
  <c r="H674" i="14"/>
  <c r="G14" i="6"/>
  <c r="J14" i="6" s="1"/>
  <c r="H614" i="14"/>
  <c r="H584" i="14"/>
  <c r="H524" i="14"/>
  <c r="H494" i="14"/>
  <c r="H464" i="14"/>
  <c r="N13" i="6"/>
  <c r="Q13" i="6" s="1"/>
  <c r="H823" i="14"/>
  <c r="H793" i="14"/>
  <c r="H733" i="14"/>
  <c r="H703" i="14"/>
  <c r="H673" i="14"/>
  <c r="H613" i="14"/>
  <c r="H583" i="14"/>
  <c r="G13" i="6"/>
  <c r="H553" i="14" s="1"/>
  <c r="H523" i="14"/>
  <c r="H493" i="14"/>
  <c r="H463" i="14"/>
  <c r="H822" i="14"/>
  <c r="H792" i="14"/>
  <c r="N12" i="6"/>
  <c r="H762" i="14" s="1"/>
  <c r="H732" i="14"/>
  <c r="H702" i="14"/>
  <c r="H672" i="14"/>
  <c r="H612" i="14"/>
  <c r="H582" i="14"/>
  <c r="H522" i="14"/>
  <c r="H492" i="14"/>
  <c r="H462" i="14"/>
  <c r="H821" i="14"/>
  <c r="H791" i="14"/>
  <c r="H731" i="14"/>
  <c r="H701" i="14"/>
  <c r="H671" i="14"/>
  <c r="H611" i="14"/>
  <c r="H581" i="14"/>
  <c r="G11" i="6"/>
  <c r="H551" i="14" s="1"/>
  <c r="H521" i="14"/>
  <c r="H491" i="14"/>
  <c r="H461" i="14"/>
  <c r="H242" i="14"/>
  <c r="H243" i="14"/>
  <c r="H245" i="14"/>
  <c r="H247" i="14"/>
  <c r="H248" i="14"/>
  <c r="H249" i="14"/>
  <c r="H251" i="14"/>
  <c r="H252" i="14"/>
  <c r="H254" i="14"/>
  <c r="H255" i="14"/>
  <c r="H256" i="14"/>
  <c r="H257" i="14"/>
  <c r="H259" i="14"/>
  <c r="H260" i="14"/>
  <c r="H458" i="14"/>
  <c r="H414" i="14"/>
  <c r="H392" i="14"/>
  <c r="H370" i="14"/>
  <c r="H348" i="14"/>
  <c r="H326" i="14"/>
  <c r="H304" i="14"/>
  <c r="H282" i="14"/>
  <c r="H457" i="14"/>
  <c r="H413" i="14"/>
  <c r="H391" i="14"/>
  <c r="H369" i="14"/>
  <c r="H347" i="14"/>
  <c r="H325" i="14"/>
  <c r="H303" i="14"/>
  <c r="H281" i="14"/>
  <c r="H455" i="14"/>
  <c r="H411" i="14"/>
  <c r="H389" i="14"/>
  <c r="H367" i="14"/>
  <c r="H345" i="14"/>
  <c r="H323" i="14"/>
  <c r="H301" i="14"/>
  <c r="H279" i="14"/>
  <c r="H454" i="14"/>
  <c r="H410" i="14"/>
  <c r="H388" i="14"/>
  <c r="H366" i="14"/>
  <c r="H344" i="14"/>
  <c r="H322" i="14"/>
  <c r="H300" i="14"/>
  <c r="H278" i="14"/>
  <c r="H453" i="14"/>
  <c r="H409" i="14"/>
  <c r="H387" i="14"/>
  <c r="H365" i="14"/>
  <c r="H343" i="14"/>
  <c r="H321" i="14"/>
  <c r="H299" i="14"/>
  <c r="H277" i="14"/>
  <c r="H452" i="14"/>
  <c r="H408" i="14"/>
  <c r="H386" i="14"/>
  <c r="H364" i="14"/>
  <c r="H342" i="14"/>
  <c r="H320" i="14"/>
  <c r="H298" i="14"/>
  <c r="H276" i="14"/>
  <c r="H450" i="14"/>
  <c r="H406" i="14"/>
  <c r="H384" i="14"/>
  <c r="H362" i="14"/>
  <c r="H340" i="14"/>
  <c r="H318" i="14"/>
  <c r="H296" i="14"/>
  <c r="H274" i="14"/>
  <c r="H449" i="14"/>
  <c r="H405" i="14"/>
  <c r="H383" i="14"/>
  <c r="H361" i="14"/>
  <c r="H339" i="14"/>
  <c r="H317" i="14"/>
  <c r="H295" i="14"/>
  <c r="H273" i="14"/>
  <c r="H447" i="14"/>
  <c r="H403" i="14"/>
  <c r="H381" i="14"/>
  <c r="H359" i="14"/>
  <c r="H337" i="14"/>
  <c r="H315" i="14"/>
  <c r="H293" i="14"/>
  <c r="H271" i="14"/>
  <c r="H446" i="14"/>
  <c r="H402" i="14"/>
  <c r="H380" i="14"/>
  <c r="H358" i="14"/>
  <c r="H336" i="14"/>
  <c r="H314" i="14"/>
  <c r="H292" i="14"/>
  <c r="H270" i="14"/>
  <c r="H445" i="14"/>
  <c r="H401" i="14"/>
  <c r="H379" i="14"/>
  <c r="H357" i="14"/>
  <c r="H335" i="14"/>
  <c r="H313" i="14"/>
  <c r="H291" i="14"/>
  <c r="H269" i="14"/>
  <c r="H443" i="14"/>
  <c r="H399" i="14"/>
  <c r="H333" i="14"/>
  <c r="H311" i="14"/>
  <c r="H289" i="14"/>
  <c r="H267" i="14"/>
  <c r="H441" i="14"/>
  <c r="H397" i="14"/>
  <c r="H375" i="14"/>
  <c r="H353" i="14"/>
  <c r="H331" i="14"/>
  <c r="H309" i="14"/>
  <c r="H287" i="14"/>
  <c r="H265" i="14"/>
  <c r="H440" i="14"/>
  <c r="H396" i="14"/>
  <c r="H374" i="14"/>
  <c r="H352" i="14"/>
  <c r="H330" i="14"/>
  <c r="H308" i="14"/>
  <c r="H286" i="14"/>
  <c r="H264" i="14"/>
  <c r="H394" i="14"/>
  <c r="H328" i="14"/>
  <c r="H230" i="14"/>
  <c r="H232" i="14"/>
  <c r="H233" i="14"/>
  <c r="H234" i="14"/>
  <c r="H235" i="14"/>
  <c r="H237" i="14"/>
  <c r="H238" i="14"/>
  <c r="H220" i="14"/>
  <c r="H221" i="14"/>
  <c r="H223" i="14"/>
  <c r="H225" i="14"/>
  <c r="H226" i="14"/>
  <c r="H227" i="14"/>
  <c r="H229" i="14"/>
  <c r="H181" i="14"/>
  <c r="H182" i="14"/>
  <c r="H183" i="14"/>
  <c r="H184" i="14"/>
  <c r="H185" i="14"/>
  <c r="H186" i="14"/>
  <c r="H187" i="14"/>
  <c r="H188" i="14"/>
  <c r="H189" i="14"/>
  <c r="H190" i="14"/>
  <c r="H192" i="14"/>
  <c r="H193" i="14"/>
  <c r="H194" i="14"/>
  <c r="H195" i="14"/>
  <c r="H196" i="14"/>
  <c r="H197" i="14"/>
  <c r="H198" i="14"/>
  <c r="H199" i="14"/>
  <c r="H200" i="14"/>
  <c r="H201" i="14"/>
  <c r="H203" i="14"/>
  <c r="H204" i="14"/>
  <c r="H205" i="14"/>
  <c r="H206" i="14"/>
  <c r="H207" i="14"/>
  <c r="H208" i="14"/>
  <c r="H209" i="14"/>
  <c r="H210" i="14"/>
  <c r="H213" i="14"/>
  <c r="H215" i="14"/>
  <c r="H216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H177" i="14"/>
  <c r="H173" i="14"/>
  <c r="H172" i="14"/>
  <c r="H168" i="14"/>
  <c r="H167" i="14"/>
  <c r="H166" i="14"/>
  <c r="H165" i="14"/>
  <c r="H164" i="14"/>
  <c r="H163" i="14"/>
  <c r="H162" i="14"/>
  <c r="H160" i="14"/>
  <c r="H159" i="14"/>
  <c r="H158" i="14"/>
  <c r="H157" i="14"/>
  <c r="H127" i="14"/>
  <c r="H128" i="14"/>
  <c r="H129" i="14"/>
  <c r="H130" i="14"/>
  <c r="H131" i="14"/>
  <c r="H132" i="14"/>
  <c r="H133" i="14"/>
  <c r="H134" i="14"/>
  <c r="H135" i="14"/>
  <c r="H136" i="14"/>
  <c r="H138" i="14"/>
  <c r="H139" i="14"/>
  <c r="H140" i="14"/>
  <c r="H141" i="14"/>
  <c r="H145" i="14"/>
  <c r="H146" i="14"/>
  <c r="H150" i="14"/>
  <c r="H151" i="14"/>
  <c r="H152" i="14"/>
  <c r="H154" i="14"/>
  <c r="H73" i="14"/>
  <c r="H74" i="14"/>
  <c r="H75" i="14"/>
  <c r="H76" i="14"/>
  <c r="H77" i="14"/>
  <c r="H78" i="14"/>
  <c r="H80" i="14"/>
  <c r="H81" i="14"/>
  <c r="H83" i="14"/>
  <c r="H84" i="14"/>
  <c r="H85" i="14"/>
  <c r="H88" i="14"/>
  <c r="H89" i="14"/>
  <c r="H90" i="14"/>
  <c r="H91" i="14"/>
  <c r="H92" i="14"/>
  <c r="H95" i="14"/>
  <c r="H96" i="14"/>
  <c r="H97" i="14"/>
  <c r="H98" i="14"/>
  <c r="H99" i="14"/>
  <c r="H100" i="14"/>
  <c r="H101" i="14"/>
  <c r="H103" i="14"/>
  <c r="H104" i="14"/>
  <c r="H105" i="14"/>
  <c r="H106" i="14"/>
  <c r="H108" i="14"/>
  <c r="H109" i="14"/>
  <c r="H111" i="14"/>
  <c r="H112" i="14"/>
  <c r="H113" i="14"/>
  <c r="H114" i="14"/>
  <c r="H115" i="14"/>
  <c r="H116" i="14"/>
  <c r="H117" i="14"/>
  <c r="H118" i="14"/>
  <c r="H119" i="14"/>
  <c r="H121" i="14"/>
  <c r="H122" i="14"/>
  <c r="H12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H70" i="14"/>
  <c r="H68" i="14"/>
  <c r="H67" i="14"/>
  <c r="H66" i="14"/>
  <c r="H65" i="14"/>
  <c r="H63" i="14"/>
  <c r="H62" i="14"/>
  <c r="H61" i="14"/>
  <c r="H60" i="14"/>
  <c r="H59" i="14"/>
  <c r="H56" i="14"/>
  <c r="H55" i="14"/>
  <c r="H54" i="14"/>
  <c r="H53" i="14"/>
  <c r="H52" i="14"/>
  <c r="H51" i="14"/>
  <c r="H50" i="14"/>
  <c r="H49" i="14"/>
  <c r="H47" i="14"/>
  <c r="H46" i="14"/>
  <c r="H45" i="14"/>
  <c r="H44" i="14"/>
  <c r="H43" i="14"/>
  <c r="H42" i="14"/>
  <c r="H40" i="14"/>
  <c r="H39" i="14"/>
  <c r="H37" i="14"/>
  <c r="H36" i="14"/>
  <c r="H35" i="14"/>
  <c r="H34" i="14"/>
  <c r="H32" i="14"/>
  <c r="H31" i="14"/>
  <c r="H30" i="14"/>
  <c r="H29" i="14"/>
  <c r="H28" i="14"/>
  <c r="H26" i="14"/>
  <c r="H25" i="14"/>
  <c r="H24" i="14"/>
  <c r="H23" i="14"/>
  <c r="H20" i="14"/>
  <c r="H19" i="14"/>
  <c r="H17" i="14"/>
  <c r="H16" i="14"/>
  <c r="H15" i="14"/>
  <c r="H14" i="14"/>
  <c r="H13" i="14"/>
  <c r="H12" i="14"/>
  <c r="H10" i="14"/>
  <c r="H9" i="14"/>
  <c r="H7" i="14"/>
  <c r="H6" i="14"/>
  <c r="H5" i="14"/>
  <c r="H4" i="14"/>
  <c r="H3" i="14"/>
  <c r="A4" i="9"/>
  <c r="A4" i="7"/>
  <c r="A4" i="6"/>
  <c r="A5" i="5"/>
  <c r="A5" i="4"/>
  <c r="A5" i="3"/>
  <c r="A5" i="2"/>
  <c r="A4" i="2"/>
  <c r="A2" i="5"/>
  <c r="A3" i="9"/>
  <c r="A4" i="5"/>
  <c r="A2" i="4"/>
  <c r="A4" i="3"/>
  <c r="A2" i="3"/>
  <c r="A2" i="2"/>
  <c r="A3" i="7"/>
  <c r="A3" i="6"/>
  <c r="A4" i="4"/>
  <c r="E12" i="12"/>
  <c r="H27" i="9"/>
  <c r="H1280" i="14" s="1"/>
  <c r="F27" i="9"/>
  <c r="H1252" i="14" s="1"/>
  <c r="D27" i="9"/>
  <c r="H1224" i="14" s="1"/>
  <c r="I26" i="9"/>
  <c r="H1293" i="14" s="1"/>
  <c r="I25" i="9"/>
  <c r="H1292" i="14" s="1"/>
  <c r="I23" i="9"/>
  <c r="H1290" i="14" s="1"/>
  <c r="I21" i="9"/>
  <c r="H1288" i="14" s="1"/>
  <c r="H18" i="9"/>
  <c r="H1272" i="14" s="1"/>
  <c r="G18" i="9"/>
  <c r="H1258" i="14" s="1"/>
  <c r="F18" i="9"/>
  <c r="H1244" i="14" s="1"/>
  <c r="E18" i="9"/>
  <c r="H1230" i="14" s="1"/>
  <c r="D18" i="9"/>
  <c r="H1216" i="14" s="1"/>
  <c r="C18" i="9"/>
  <c r="H1202" i="14" s="1"/>
  <c r="I17" i="9"/>
  <c r="H1285" i="14" s="1"/>
  <c r="I16" i="9"/>
  <c r="H1284" i="14" s="1"/>
  <c r="I15" i="9"/>
  <c r="H1283" i="14" s="1"/>
  <c r="I14" i="9"/>
  <c r="H1282" i="14" s="1"/>
  <c r="I13" i="9"/>
  <c r="H1281" i="14" s="1"/>
  <c r="E107" i="7"/>
  <c r="H1191" i="14" s="1"/>
  <c r="D107" i="7"/>
  <c r="H1187" i="14" s="1"/>
  <c r="C107" i="7"/>
  <c r="H1183" i="14" s="1"/>
  <c r="F106" i="7"/>
  <c r="H1194" i="14" s="1"/>
  <c r="F105" i="7"/>
  <c r="H1193" i="14" s="1"/>
  <c r="F104" i="7"/>
  <c r="H1192" i="14" s="1"/>
  <c r="E97" i="7"/>
  <c r="H1134" i="14" s="1"/>
  <c r="E96" i="7"/>
  <c r="H1133" i="14" s="1"/>
  <c r="E95" i="7"/>
  <c r="H1132" i="14" s="1"/>
  <c r="E94" i="7"/>
  <c r="H1131" i="14" s="1"/>
  <c r="E93" i="7"/>
  <c r="H1130" i="14" s="1"/>
  <c r="F92" i="7"/>
  <c r="F87" i="7" s="1"/>
  <c r="D92" i="7"/>
  <c r="H1086" i="14" s="1"/>
  <c r="C92" i="7"/>
  <c r="C87" i="7" s="1"/>
  <c r="E91" i="7"/>
  <c r="H1128" i="14" s="1"/>
  <c r="E90" i="7"/>
  <c r="H1127" i="14" s="1"/>
  <c r="E89" i="7"/>
  <c r="H1126" i="14" s="1"/>
  <c r="E88" i="7"/>
  <c r="H1125" i="14" s="1"/>
  <c r="E86" i="7"/>
  <c r="H1123" i="14" s="1"/>
  <c r="E85" i="7"/>
  <c r="H1122" i="14" s="1"/>
  <c r="E84" i="7"/>
  <c r="H1121" i="14" s="1"/>
  <c r="E83" i="7"/>
  <c r="H1120" i="14" s="1"/>
  <c r="F82" i="7"/>
  <c r="H1162" i="14" s="1"/>
  <c r="D82" i="7"/>
  <c r="H1076" i="14" s="1"/>
  <c r="C82" i="7"/>
  <c r="H1033" i="14" s="1"/>
  <c r="E81" i="7"/>
  <c r="H1118" i="14" s="1"/>
  <c r="E80" i="7"/>
  <c r="H1117" i="14" s="1"/>
  <c r="E79" i="7"/>
  <c r="H1116" i="14" s="1"/>
  <c r="E78" i="7"/>
  <c r="H1115" i="14" s="1"/>
  <c r="F77" i="7"/>
  <c r="H1157" i="14" s="1"/>
  <c r="D77" i="7"/>
  <c r="H1071" i="14" s="1"/>
  <c r="C77" i="7"/>
  <c r="H1028" i="14" s="1"/>
  <c r="E76" i="7"/>
  <c r="H1113" i="14" s="1"/>
  <c r="E75" i="7"/>
  <c r="H1112" i="14" s="1"/>
  <c r="E74" i="7"/>
  <c r="H1111" i="14" s="1"/>
  <c r="F73" i="7"/>
  <c r="H1153" i="14" s="1"/>
  <c r="D73" i="7"/>
  <c r="H1067" i="14" s="1"/>
  <c r="C73" i="7"/>
  <c r="H1024" i="14" s="1"/>
  <c r="E70" i="7"/>
  <c r="H1109" i="14" s="1"/>
  <c r="E67" i="7"/>
  <c r="H1107" i="14" s="1"/>
  <c r="E66" i="7"/>
  <c r="H1106" i="14" s="1"/>
  <c r="E65" i="7"/>
  <c r="H1105" i="14" s="1"/>
  <c r="E64" i="7"/>
  <c r="H1104" i="14" s="1"/>
  <c r="E63" i="7"/>
  <c r="H1103" i="14" s="1"/>
  <c r="E62" i="7"/>
  <c r="H1102" i="14" s="1"/>
  <c r="E61" i="7"/>
  <c r="H1101" i="14" s="1"/>
  <c r="E60" i="7"/>
  <c r="H1100" i="14" s="1"/>
  <c r="E59" i="7"/>
  <c r="H1099" i="14" s="1"/>
  <c r="F58" i="7"/>
  <c r="H1141" i="14" s="1"/>
  <c r="D58" i="7"/>
  <c r="H1055" i="14" s="1"/>
  <c r="C58" i="7"/>
  <c r="H1012" i="14" s="1"/>
  <c r="E57" i="7"/>
  <c r="H1097" i="14" s="1"/>
  <c r="E56" i="7"/>
  <c r="H1096" i="14" s="1"/>
  <c r="E55" i="7"/>
  <c r="H1095" i="14" s="1"/>
  <c r="F54" i="7"/>
  <c r="H1137" i="14" s="1"/>
  <c r="D54" i="7"/>
  <c r="H1051" i="14" s="1"/>
  <c r="C54" i="7"/>
  <c r="H1008" i="14" s="1"/>
  <c r="E44" i="7"/>
  <c r="H1005" i="14" s="1"/>
  <c r="E43" i="7"/>
  <c r="H1004" i="14" s="1"/>
  <c r="E42" i="7"/>
  <c r="H1003" i="14" s="1"/>
  <c r="E41" i="7"/>
  <c r="H1002" i="14" s="1"/>
  <c r="D40" i="7"/>
  <c r="H969" i="14" s="1"/>
  <c r="C40" i="7"/>
  <c r="H937" i="14" s="1"/>
  <c r="E39" i="7"/>
  <c r="H1000" i="14" s="1"/>
  <c r="E38" i="7"/>
  <c r="H999" i="14" s="1"/>
  <c r="E37" i="7"/>
  <c r="H998" i="14" s="1"/>
  <c r="E36" i="7"/>
  <c r="H997" i="14" s="1"/>
  <c r="D35" i="7"/>
  <c r="H964" i="14" s="1"/>
  <c r="C35" i="7"/>
  <c r="H932" i="14" s="1"/>
  <c r="E34" i="7"/>
  <c r="H995" i="14" s="1"/>
  <c r="E33" i="7"/>
  <c r="H994" i="14" s="1"/>
  <c r="E32" i="7"/>
  <c r="H993" i="14" s="1"/>
  <c r="E31" i="7"/>
  <c r="H992" i="14" s="1"/>
  <c r="E30" i="7"/>
  <c r="H991" i="14" s="1"/>
  <c r="E29" i="7"/>
  <c r="H990" i="14" s="1"/>
  <c r="E28" i="7"/>
  <c r="H989" i="14" s="1"/>
  <c r="E27" i="7"/>
  <c r="H988" i="14" s="1"/>
  <c r="D26" i="7"/>
  <c r="H955" i="14" s="1"/>
  <c r="C26" i="7"/>
  <c r="H923" i="14" s="1"/>
  <c r="E23" i="7"/>
  <c r="H986" i="14" s="1"/>
  <c r="E22" i="7"/>
  <c r="E20" i="7"/>
  <c r="H984" i="14" s="1"/>
  <c r="E19" i="7"/>
  <c r="H983" i="14" s="1"/>
  <c r="D18" i="7"/>
  <c r="H950" i="14" s="1"/>
  <c r="C18" i="7"/>
  <c r="E17" i="7"/>
  <c r="H981" i="14" s="1"/>
  <c r="E16" i="7"/>
  <c r="H980" i="14" s="1"/>
  <c r="E15" i="7"/>
  <c r="H979" i="14" s="1"/>
  <c r="E14" i="7"/>
  <c r="H978" i="14" s="1"/>
  <c r="D13" i="7"/>
  <c r="H945" i="14" s="1"/>
  <c r="C13" i="7"/>
  <c r="H913" i="14" s="1"/>
  <c r="E11" i="7"/>
  <c r="H976" i="14" s="1"/>
  <c r="N41" i="6"/>
  <c r="Q41" i="6" s="1"/>
  <c r="H879" i="14" s="1"/>
  <c r="N39" i="6"/>
  <c r="Q39" i="6" s="1"/>
  <c r="H877" i="14" s="1"/>
  <c r="G38" i="6"/>
  <c r="J38" i="6" s="1"/>
  <c r="H666" i="14" s="1"/>
  <c r="N37" i="6"/>
  <c r="Q37" i="6" s="1"/>
  <c r="H875" i="14" s="1"/>
  <c r="G36" i="6"/>
  <c r="J36" i="6" s="1"/>
  <c r="N35" i="6"/>
  <c r="Q35" i="6" s="1"/>
  <c r="O34" i="6"/>
  <c r="H812" i="14" s="1"/>
  <c r="M34" i="6"/>
  <c r="H752" i="14" s="1"/>
  <c r="L34" i="6"/>
  <c r="H722" i="14" s="1"/>
  <c r="K34" i="6"/>
  <c r="H692" i="14" s="1"/>
  <c r="I34" i="6"/>
  <c r="H632" i="14" s="1"/>
  <c r="F34" i="6"/>
  <c r="H542" i="14" s="1"/>
  <c r="E34" i="6"/>
  <c r="H512" i="14" s="1"/>
  <c r="D34" i="6"/>
  <c r="H482" i="14" s="1"/>
  <c r="N33" i="6"/>
  <c r="Q33" i="6" s="1"/>
  <c r="H871" i="14" s="1"/>
  <c r="G32" i="6"/>
  <c r="H570" i="14" s="1"/>
  <c r="N31" i="6"/>
  <c r="Q31" i="6" s="1"/>
  <c r="H869" i="14" s="1"/>
  <c r="G30" i="6"/>
  <c r="H568" i="14" s="1"/>
  <c r="P29" i="6"/>
  <c r="M29" i="6"/>
  <c r="H747" i="14" s="1"/>
  <c r="L29" i="6"/>
  <c r="H717" i="14" s="1"/>
  <c r="H627" i="14"/>
  <c r="H597" i="14"/>
  <c r="F29" i="6"/>
  <c r="H537" i="14" s="1"/>
  <c r="D29" i="6"/>
  <c r="H477" i="14" s="1"/>
  <c r="O27" i="6"/>
  <c r="H806" i="14" s="1"/>
  <c r="M27" i="6"/>
  <c r="H746" i="14" s="1"/>
  <c r="K27" i="6"/>
  <c r="H686" i="14" s="1"/>
  <c r="I27" i="6"/>
  <c r="H626" i="14" s="1"/>
  <c r="E27" i="6"/>
  <c r="N26" i="6"/>
  <c r="H775" i="14" s="1"/>
  <c r="N24" i="6"/>
  <c r="H773" i="14" s="1"/>
  <c r="N23" i="6"/>
  <c r="Q23" i="6" s="1"/>
  <c r="H862" i="14" s="1"/>
  <c r="N22" i="6"/>
  <c r="Q22" i="6" s="1"/>
  <c r="G22" i="6"/>
  <c r="J22" i="6" s="1"/>
  <c r="N21" i="6"/>
  <c r="Q21" i="6" s="1"/>
  <c r="H861" i="14" s="1"/>
  <c r="G21" i="6"/>
  <c r="J21" i="6" s="1"/>
  <c r="G20" i="6"/>
  <c r="J20" i="6" s="1"/>
  <c r="P19" i="6"/>
  <c r="O19" i="6"/>
  <c r="H799" i="14" s="1"/>
  <c r="L19" i="6"/>
  <c r="H709" i="14" s="1"/>
  <c r="K19" i="6"/>
  <c r="H679" i="14" s="1"/>
  <c r="H19" i="6"/>
  <c r="H589" i="14" s="1"/>
  <c r="F19" i="6"/>
  <c r="H529" i="14" s="1"/>
  <c r="D19" i="6"/>
  <c r="H469" i="14" s="1"/>
  <c r="G16" i="6"/>
  <c r="N15" i="6"/>
  <c r="H765" i="14" s="1"/>
  <c r="G12" i="6"/>
  <c r="H552" i="14" s="1"/>
  <c r="N11" i="6"/>
  <c r="H761" i="14" s="1"/>
  <c r="L33" i="5"/>
  <c r="H436" i="14" s="1"/>
  <c r="L32" i="5"/>
  <c r="H435" i="14" s="1"/>
  <c r="L30" i="5"/>
  <c r="H433" i="14" s="1"/>
  <c r="L29" i="5"/>
  <c r="H432" i="14" s="1"/>
  <c r="L28" i="5"/>
  <c r="H431" i="14" s="1"/>
  <c r="L27" i="5"/>
  <c r="H430" i="14" s="1"/>
  <c r="M26" i="5"/>
  <c r="H451" i="14" s="1"/>
  <c r="K26" i="5"/>
  <c r="H407" i="14" s="1"/>
  <c r="J26" i="5"/>
  <c r="H385" i="14" s="1"/>
  <c r="I26" i="5"/>
  <c r="H363" i="14" s="1"/>
  <c r="H26" i="5"/>
  <c r="H341" i="14" s="1"/>
  <c r="G26" i="5"/>
  <c r="H319" i="14" s="1"/>
  <c r="F26" i="5"/>
  <c r="H297" i="14" s="1"/>
  <c r="E26" i="5"/>
  <c r="H275" i="14" s="1"/>
  <c r="D26" i="5"/>
  <c r="H253" i="14" s="1"/>
  <c r="C26" i="5"/>
  <c r="H231" i="14" s="1"/>
  <c r="L25" i="5"/>
  <c r="H428" i="14" s="1"/>
  <c r="L24" i="5"/>
  <c r="H427" i="14" s="1"/>
  <c r="M23" i="5"/>
  <c r="H448" i="14" s="1"/>
  <c r="K23" i="5"/>
  <c r="H404" i="14" s="1"/>
  <c r="J23" i="5"/>
  <c r="H382" i="14" s="1"/>
  <c r="I23" i="5"/>
  <c r="H360" i="14" s="1"/>
  <c r="H23" i="5"/>
  <c r="G23" i="5"/>
  <c r="H316" i="14" s="1"/>
  <c r="F23" i="5"/>
  <c r="E23" i="5"/>
  <c r="H272" i="14" s="1"/>
  <c r="D23" i="5"/>
  <c r="H250" i="14" s="1"/>
  <c r="C23" i="5"/>
  <c r="H228" i="14" s="1"/>
  <c r="L22" i="5"/>
  <c r="H425" i="14" s="1"/>
  <c r="L21" i="5"/>
  <c r="H424" i="14" s="1"/>
  <c r="L20" i="5"/>
  <c r="H423" i="14" s="1"/>
  <c r="M19" i="5"/>
  <c r="H444" i="14" s="1"/>
  <c r="K19" i="5"/>
  <c r="H400" i="14" s="1"/>
  <c r="J19" i="5"/>
  <c r="H378" i="14" s="1"/>
  <c r="I19" i="5"/>
  <c r="H356" i="14" s="1"/>
  <c r="H19" i="5"/>
  <c r="H334" i="14" s="1"/>
  <c r="G19" i="5"/>
  <c r="H312" i="14" s="1"/>
  <c r="F19" i="5"/>
  <c r="H290" i="14" s="1"/>
  <c r="E19" i="5"/>
  <c r="H268" i="14" s="1"/>
  <c r="D19" i="5"/>
  <c r="H246" i="14" s="1"/>
  <c r="C19" i="5"/>
  <c r="H224" i="14" s="1"/>
  <c r="J18" i="5"/>
  <c r="H377" i="14" s="1"/>
  <c r="I18" i="5"/>
  <c r="H355" i="14" s="1"/>
  <c r="L16" i="5"/>
  <c r="H419" i="14" s="1"/>
  <c r="L15" i="5"/>
  <c r="H418" i="14" s="1"/>
  <c r="M14" i="5"/>
  <c r="H439" i="14" s="1"/>
  <c r="K14" i="5"/>
  <c r="H395" i="14" s="1"/>
  <c r="J14" i="5"/>
  <c r="H373" i="14" s="1"/>
  <c r="I14" i="5"/>
  <c r="H351" i="14" s="1"/>
  <c r="H14" i="5"/>
  <c r="G14" i="5"/>
  <c r="H307" i="14" s="1"/>
  <c r="F14" i="5"/>
  <c r="H285" i="14" s="1"/>
  <c r="E14" i="5"/>
  <c r="H263" i="14" s="1"/>
  <c r="D14" i="5"/>
  <c r="C14" i="5"/>
  <c r="H219" i="14" s="1"/>
  <c r="M13" i="5"/>
  <c r="J13" i="5"/>
  <c r="H372" i="14" s="1"/>
  <c r="I13" i="5"/>
  <c r="G13" i="5"/>
  <c r="H306" i="14" s="1"/>
  <c r="F13" i="5"/>
  <c r="E13" i="5"/>
  <c r="H262" i="14" s="1"/>
  <c r="D13" i="5"/>
  <c r="D43" i="4"/>
  <c r="C43" i="4"/>
  <c r="H211" i="14" s="1"/>
  <c r="D33" i="4"/>
  <c r="C33" i="4"/>
  <c r="H202" i="14" s="1"/>
  <c r="D21" i="4"/>
  <c r="C21" i="4"/>
  <c r="H191" i="14" s="1"/>
  <c r="D38" i="3"/>
  <c r="C38" i="3"/>
  <c r="H149" i="14" s="1"/>
  <c r="D29" i="3"/>
  <c r="C29" i="3"/>
  <c r="H27" i="3"/>
  <c r="G27" i="3"/>
  <c r="D22" i="3"/>
  <c r="C22" i="3"/>
  <c r="H16" i="3"/>
  <c r="G16" i="3"/>
  <c r="D3" i="13" s="1"/>
  <c r="D92" i="2"/>
  <c r="C9" i="12" s="1"/>
  <c r="C92" i="2"/>
  <c r="C10" i="12" s="1"/>
  <c r="D79" i="2"/>
  <c r="D85" i="2" s="1"/>
  <c r="C79" i="2"/>
  <c r="H58" i="14" s="1"/>
  <c r="D76" i="2"/>
  <c r="C76" i="2"/>
  <c r="D65" i="2"/>
  <c r="C65" i="2"/>
  <c r="H48" i="14" s="1"/>
  <c r="H61" i="2"/>
  <c r="H71" i="2" s="1"/>
  <c r="H79" i="2" s="1"/>
  <c r="G61" i="2"/>
  <c r="H110" i="14" s="1"/>
  <c r="D52" i="2"/>
  <c r="C52" i="2"/>
  <c r="H38" i="14" s="1"/>
  <c r="H50" i="2"/>
  <c r="H56" i="2" s="1"/>
  <c r="G50" i="2"/>
  <c r="H102" i="14" s="1"/>
  <c r="D40" i="2"/>
  <c r="C40" i="2"/>
  <c r="H27" i="14" s="1"/>
  <c r="D35" i="2"/>
  <c r="C35" i="2"/>
  <c r="D33" i="2"/>
  <c r="C33" i="2"/>
  <c r="H21" i="14" s="1"/>
  <c r="H28" i="2"/>
  <c r="H34" i="2" s="1"/>
  <c r="G28" i="2"/>
  <c r="G34" i="2" s="1"/>
  <c r="H93" i="14" s="1"/>
  <c r="D28" i="2"/>
  <c r="C28" i="2"/>
  <c r="H18" i="14" s="1"/>
  <c r="H22" i="2"/>
  <c r="H26" i="2" s="1"/>
  <c r="G22" i="2"/>
  <c r="G26" i="2" s="1"/>
  <c r="H86" i="14" s="1"/>
  <c r="D20" i="2"/>
  <c r="C20" i="2"/>
  <c r="H11" i="14" s="1"/>
  <c r="H18" i="2"/>
  <c r="C13" i="5" s="1"/>
  <c r="H218" i="14" s="1"/>
  <c r="G18" i="2"/>
  <c r="E7" i="12" s="1"/>
  <c r="H562" i="14"/>
  <c r="E15" i="12"/>
  <c r="H169" i="14" l="1"/>
  <c r="H142" i="14"/>
  <c r="B101" i="2"/>
  <c r="B34" i="9"/>
  <c r="Q20" i="6"/>
  <c r="H860" i="14" s="1"/>
  <c r="Q36" i="6"/>
  <c r="H874" i="14" s="1"/>
  <c r="H1172" i="14"/>
  <c r="G17" i="5"/>
  <c r="H310" i="14" s="1"/>
  <c r="H771" i="14"/>
  <c r="B57" i="4"/>
  <c r="E54" i="7"/>
  <c r="H1094" i="14" s="1"/>
  <c r="A6" i="5"/>
  <c r="C241" i="14"/>
  <c r="C325" i="14"/>
  <c r="C400" i="14"/>
  <c r="C469" i="14"/>
  <c r="C538" i="14"/>
  <c r="C603" i="14"/>
  <c r="C678" i="14"/>
  <c r="C220" i="14"/>
  <c r="C370" i="14"/>
  <c r="C572" i="14"/>
  <c r="C758" i="14"/>
  <c r="C833" i="14"/>
  <c r="C907" i="14"/>
  <c r="C984" i="14"/>
  <c r="C1069" i="14"/>
  <c r="C1249" i="14"/>
  <c r="C61" i="14"/>
  <c r="C196" i="14"/>
  <c r="C226" i="14"/>
  <c r="C263" i="14"/>
  <c r="C302" i="14"/>
  <c r="C342" i="14"/>
  <c r="C386" i="14"/>
  <c r="C418" i="14"/>
  <c r="C451" i="14"/>
  <c r="C487" i="14"/>
  <c r="C519" i="14"/>
  <c r="C552" i="14"/>
  <c r="C589" i="14"/>
  <c r="C620" i="14"/>
  <c r="C658" i="14"/>
  <c r="C703" i="14"/>
  <c r="C185" i="14"/>
  <c r="C252" i="14"/>
  <c r="C336" i="14"/>
  <c r="C414" i="14"/>
  <c r="C529" i="14"/>
  <c r="C629" i="14"/>
  <c r="C734" i="14"/>
  <c r="C774" i="14"/>
  <c r="C814" i="14"/>
  <c r="C849" i="14"/>
  <c r="C887" i="14"/>
  <c r="C930" i="14"/>
  <c r="C963" i="14"/>
  <c r="C1004" i="14"/>
  <c r="C1042" i="14"/>
  <c r="C1109" i="14"/>
  <c r="C1201" i="14"/>
  <c r="C8" i="14"/>
  <c r="C201" i="14"/>
  <c r="C232" i="14"/>
  <c r="C265" i="14"/>
  <c r="C310" i="14"/>
  <c r="C348" i="14"/>
  <c r="C388" i="14"/>
  <c r="C424" i="14"/>
  <c r="C455" i="14"/>
  <c r="C489" i="14"/>
  <c r="C525" i="14"/>
  <c r="C557" i="14"/>
  <c r="C591" i="14"/>
  <c r="C627" i="14"/>
  <c r="C664" i="14"/>
  <c r="C708" i="14"/>
  <c r="C195" i="14"/>
  <c r="C260" i="14"/>
  <c r="C341" i="14"/>
  <c r="C440" i="14"/>
  <c r="C531" i="14"/>
  <c r="C645" i="14"/>
  <c r="C742" i="14"/>
  <c r="C779" i="14"/>
  <c r="C818" i="14"/>
  <c r="C855" i="14"/>
  <c r="C891" i="14"/>
  <c r="C931" i="14"/>
  <c r="C972" i="14"/>
  <c r="C1006" i="14"/>
  <c r="C1047" i="14"/>
  <c r="C1120" i="14"/>
  <c r="C1217" i="14"/>
  <c r="C19" i="14"/>
  <c r="C128" i="14"/>
  <c r="C210" i="14"/>
  <c r="C281" i="14"/>
  <c r="C363" i="14"/>
  <c r="C436" i="14"/>
  <c r="C502" i="14"/>
  <c r="C570" i="14"/>
  <c r="C639" i="14"/>
  <c r="C727" i="14"/>
  <c r="C293" i="14"/>
  <c r="C473" i="14"/>
  <c r="C679" i="14"/>
  <c r="C792" i="14"/>
  <c r="C870" i="14"/>
  <c r="C946" i="14"/>
  <c r="C1020" i="14"/>
  <c r="C1158" i="14"/>
  <c r="C90" i="14"/>
  <c r="C186" i="14"/>
  <c r="C216" i="14"/>
  <c r="C247" i="14"/>
  <c r="C286" i="14"/>
  <c r="C327" i="14"/>
  <c r="C371" i="14"/>
  <c r="C405" i="14"/>
  <c r="C438" i="14"/>
  <c r="C475" i="14"/>
  <c r="C506" i="14"/>
  <c r="C539" i="14"/>
  <c r="C576" i="14"/>
  <c r="C608" i="14"/>
  <c r="C641" i="14"/>
  <c r="C689" i="14"/>
  <c r="C728" i="14"/>
  <c r="C229" i="14"/>
  <c r="C303" i="14"/>
  <c r="C382" i="14"/>
  <c r="C485" i="14"/>
  <c r="C590" i="14"/>
  <c r="C690" i="14"/>
  <c r="C759" i="14"/>
  <c r="C802" i="14"/>
  <c r="C834" i="14"/>
  <c r="C875" i="14"/>
  <c r="C914" i="14"/>
  <c r="C951" i="14"/>
  <c r="C988" i="14"/>
  <c r="C1027" i="14"/>
  <c r="C1077" i="14"/>
  <c r="C1163" i="14"/>
  <c r="C1272" i="14"/>
  <c r="C65" i="14"/>
  <c r="A3" i="12"/>
  <c r="C148" i="14"/>
  <c r="F68" i="7"/>
  <c r="H1151" i="14" s="1"/>
  <c r="C203" i="14"/>
  <c r="C234" i="14"/>
  <c r="C249" i="14"/>
  <c r="C294" i="14"/>
  <c r="C333" i="14"/>
  <c r="C356" i="14"/>
  <c r="C393" i="14"/>
  <c r="C443" i="14"/>
  <c r="C477" i="14"/>
  <c r="C513" i="14"/>
  <c r="C527" i="14"/>
  <c r="C544" i="14"/>
  <c r="C564" i="14"/>
  <c r="C595" i="14"/>
  <c r="C628" i="14"/>
  <c r="C646" i="14"/>
  <c r="C671" i="14"/>
  <c r="C691" i="14"/>
  <c r="C781" i="14"/>
  <c r="C202" i="14"/>
  <c r="C274" i="14"/>
  <c r="C349" i="14"/>
  <c r="C442" i="14"/>
  <c r="C499" i="14"/>
  <c r="C601" i="14"/>
  <c r="C707" i="14"/>
  <c r="C786" i="14"/>
  <c r="C822" i="14"/>
  <c r="C843" i="14"/>
  <c r="C859" i="14"/>
  <c r="C877" i="14"/>
  <c r="C898" i="14"/>
  <c r="C919" i="14"/>
  <c r="C956" i="14"/>
  <c r="C974" i="14"/>
  <c r="C994" i="14"/>
  <c r="C1015" i="14"/>
  <c r="C1031" i="14"/>
  <c r="C1048" i="14"/>
  <c r="C1092" i="14"/>
  <c r="C1132" i="14"/>
  <c r="C1174" i="14"/>
  <c r="C1229" i="14"/>
  <c r="C1276" i="14"/>
  <c r="C33" i="14"/>
  <c r="C100" i="14"/>
  <c r="C133" i="14"/>
  <c r="C176" i="14"/>
  <c r="C39" i="14"/>
  <c r="C7" i="14"/>
  <c r="C1260" i="14"/>
  <c r="C1219" i="14"/>
  <c r="C1186" i="14"/>
  <c r="C1143" i="14"/>
  <c r="C1112" i="14"/>
  <c r="C1088" i="14"/>
  <c r="C1056" i="14"/>
  <c r="C1038" i="14"/>
  <c r="C1026" i="14"/>
  <c r="C1010" i="14"/>
  <c r="C995" i="14"/>
  <c r="C983" i="14"/>
  <c r="C967" i="14"/>
  <c r="C952" i="14"/>
  <c r="C940" i="14"/>
  <c r="C924" i="14"/>
  <c r="C909" i="14"/>
  <c r="C897" i="14"/>
  <c r="C881" i="14"/>
  <c r="C866" i="14"/>
  <c r="C854" i="14"/>
  <c r="C838" i="14"/>
  <c r="C823" i="14"/>
  <c r="C812" i="14"/>
  <c r="C796" i="14"/>
  <c r="C782" i="14"/>
  <c r="C769" i="14"/>
  <c r="C753" i="14"/>
  <c r="C737" i="14"/>
  <c r="C704" i="14"/>
  <c r="C659" i="14"/>
  <c r="C618" i="14"/>
  <c r="C585" i="14"/>
  <c r="C543" i="14"/>
  <c r="C504" i="14"/>
  <c r="C470" i="14"/>
  <c r="C426" i="14"/>
  <c r="C384" i="14"/>
  <c r="C360" i="14"/>
  <c r="C326" i="14"/>
  <c r="C295" i="14"/>
  <c r="C270" i="14"/>
  <c r="C237" i="14"/>
  <c r="C213" i="14"/>
  <c r="C193" i="14"/>
  <c r="C733" i="14"/>
  <c r="C716" i="14"/>
  <c r="C702" i="14"/>
  <c r="C683" i="14"/>
  <c r="C666" i="14"/>
  <c r="C652" i="14"/>
  <c r="C634" i="14"/>
  <c r="C622" i="14"/>
  <c r="C609" i="14"/>
  <c r="C597" i="14"/>
  <c r="C584" i="14"/>
  <c r="C571" i="14"/>
  <c r="C559" i="14"/>
  <c r="C546" i="14"/>
  <c r="C533" i="14"/>
  <c r="C521" i="14"/>
  <c r="C508" i="14"/>
  <c r="C495" i="14"/>
  <c r="C483" i="14"/>
  <c r="C471" i="14"/>
  <c r="C457" i="14"/>
  <c r="C444" i="14"/>
  <c r="C431" i="14"/>
  <c r="C419" i="14"/>
  <c r="C407" i="14"/>
  <c r="C394" i="14"/>
  <c r="C381" i="14"/>
  <c r="C365" i="14"/>
  <c r="C350" i="14"/>
  <c r="C335" i="14"/>
  <c r="C319" i="14"/>
  <c r="C304" i="14"/>
  <c r="C288" i="14"/>
  <c r="C273" i="14"/>
  <c r="C257" i="14"/>
  <c r="C188" i="14"/>
  <c r="C219" i="14"/>
  <c r="C271" i="14"/>
  <c r="C311" i="14"/>
  <c r="C373" i="14"/>
  <c r="C411" i="14"/>
  <c r="C425" i="14"/>
  <c r="C462" i="14"/>
  <c r="C494" i="14"/>
  <c r="C578" i="14"/>
  <c r="C614" i="14"/>
  <c r="C714" i="14"/>
  <c r="C231" i="14"/>
  <c r="C316" i="14"/>
  <c r="C395" i="14"/>
  <c r="C558" i="14"/>
  <c r="C648" i="14"/>
  <c r="C747" i="14"/>
  <c r="C763" i="14"/>
  <c r="C803" i="14"/>
  <c r="C935" i="14"/>
  <c r="C160" i="14"/>
  <c r="C194" i="14"/>
  <c r="C209" i="14"/>
  <c r="C224" i="14"/>
  <c r="C240" i="14"/>
  <c r="C255" i="14"/>
  <c r="C279" i="14"/>
  <c r="C296" i="14"/>
  <c r="C317" i="14"/>
  <c r="C340" i="14"/>
  <c r="C358" i="14"/>
  <c r="C379" i="14"/>
  <c r="C399" i="14"/>
  <c r="C413" i="14"/>
  <c r="C430" i="14"/>
  <c r="C449" i="14"/>
  <c r="C464" i="14"/>
  <c r="C481" i="14"/>
  <c r="C500" i="14"/>
  <c r="C514" i="14"/>
  <c r="C532" i="14"/>
  <c r="C551" i="14"/>
  <c r="C565" i="14"/>
  <c r="C583" i="14"/>
  <c r="C602" i="14"/>
  <c r="C616" i="14"/>
  <c r="C633" i="14"/>
  <c r="C653" i="14"/>
  <c r="C677" i="14"/>
  <c r="C696" i="14"/>
  <c r="C721" i="14"/>
  <c r="A6" i="4"/>
  <c r="C211" i="14"/>
  <c r="C250" i="14"/>
  <c r="C282" i="14"/>
  <c r="C318" i="14"/>
  <c r="C362" i="14"/>
  <c r="C409" i="14"/>
  <c r="C453" i="14"/>
  <c r="C515" i="14"/>
  <c r="C561" i="14"/>
  <c r="C615" i="14"/>
  <c r="C673" i="14"/>
  <c r="C718" i="14"/>
  <c r="C749" i="14"/>
  <c r="C770" i="14"/>
  <c r="C791" i="14"/>
  <c r="C807" i="14"/>
  <c r="C827" i="14"/>
  <c r="C845" i="14"/>
  <c r="C865" i="14"/>
  <c r="C886" i="14"/>
  <c r="C902" i="14"/>
  <c r="C920" i="14"/>
  <c r="C942" i="14"/>
  <c r="C962" i="14"/>
  <c r="C978" i="14"/>
  <c r="C999" i="14"/>
  <c r="C1016" i="14"/>
  <c r="C1036" i="14"/>
  <c r="C1068" i="14"/>
  <c r="C1100" i="14"/>
  <c r="C1133" i="14"/>
  <c r="C1190" i="14"/>
  <c r="C1244" i="14"/>
  <c r="C1287" i="14"/>
  <c r="C49" i="14"/>
  <c r="C159" i="14"/>
  <c r="C104" i="14"/>
  <c r="C46" i="2"/>
  <c r="H33" i="14" s="1"/>
  <c r="C84" i="14"/>
  <c r="A5" i="8"/>
  <c r="B41" i="5"/>
  <c r="C45" i="6"/>
  <c r="B31" i="8"/>
  <c r="H556" i="14"/>
  <c r="J16" i="6"/>
  <c r="H646" i="14" s="1"/>
  <c r="H563" i="14"/>
  <c r="C647" i="14"/>
  <c r="C660" i="14"/>
  <c r="C672" i="14"/>
  <c r="C685" i="14"/>
  <c r="C697" i="14"/>
  <c r="C710" i="14"/>
  <c r="C722" i="14"/>
  <c r="C735" i="14"/>
  <c r="C187" i="14"/>
  <c r="C204" i="14"/>
  <c r="C222" i="14"/>
  <c r="C242" i="14"/>
  <c r="C262" i="14"/>
  <c r="C284" i="14"/>
  <c r="C307" i="14"/>
  <c r="C328" i="14"/>
  <c r="C351" i="14"/>
  <c r="C374" i="14"/>
  <c r="C398" i="14"/>
  <c r="C429" i="14"/>
  <c r="C459" i="14"/>
  <c r="C488" i="14"/>
  <c r="C518" i="14"/>
  <c r="C547" i="14"/>
  <c r="C574" i="14"/>
  <c r="C604" i="14"/>
  <c r="C635" i="14"/>
  <c r="C662" i="14"/>
  <c r="C692" i="14"/>
  <c r="C723" i="14"/>
  <c r="C743" i="14"/>
  <c r="C754" i="14"/>
  <c r="C765" i="14"/>
  <c r="C775" i="14"/>
  <c r="C787" i="14"/>
  <c r="C798" i="14"/>
  <c r="C808" i="14"/>
  <c r="C819" i="14"/>
  <c r="C829" i="14"/>
  <c r="C839" i="14"/>
  <c r="C850" i="14"/>
  <c r="C861" i="14"/>
  <c r="C871" i="14"/>
  <c r="C882" i="14"/>
  <c r="C893" i="14"/>
  <c r="C903" i="14"/>
  <c r="C915" i="14"/>
  <c r="C926" i="14"/>
  <c r="C936" i="14"/>
  <c r="C947" i="14"/>
  <c r="C958" i="14"/>
  <c r="C968" i="14"/>
  <c r="C979" i="14"/>
  <c r="C990" i="14"/>
  <c r="C1000" i="14"/>
  <c r="C1011" i="14"/>
  <c r="C1022" i="14"/>
  <c r="C1032" i="14"/>
  <c r="C1043" i="14"/>
  <c r="C1060" i="14"/>
  <c r="C1080" i="14"/>
  <c r="C1101" i="14"/>
  <c r="C1124" i="14"/>
  <c r="C1147" i="14"/>
  <c r="C1175" i="14"/>
  <c r="C1207" i="14"/>
  <c r="C1233" i="14"/>
  <c r="C1261" i="14"/>
  <c r="C1292" i="14"/>
  <c r="C23" i="14"/>
  <c r="C51" i="14"/>
  <c r="C171" i="14"/>
  <c r="C144" i="14"/>
  <c r="C115" i="14"/>
  <c r="A5" i="11"/>
  <c r="C73" i="14"/>
  <c r="C77" i="14"/>
  <c r="C81" i="14"/>
  <c r="C85" i="14"/>
  <c r="C89" i="14"/>
  <c r="C93" i="14"/>
  <c r="C97" i="14"/>
  <c r="C101" i="14"/>
  <c r="C105" i="14"/>
  <c r="C109" i="14"/>
  <c r="C113" i="14"/>
  <c r="C117" i="14"/>
  <c r="C121" i="14"/>
  <c r="C125" i="14"/>
  <c r="C130" i="14"/>
  <c r="C134" i="14"/>
  <c r="C138" i="14"/>
  <c r="C142" i="14"/>
  <c r="C146" i="14"/>
  <c r="C150" i="14"/>
  <c r="C154" i="14"/>
  <c r="C158" i="14"/>
  <c r="C162" i="14"/>
  <c r="C166" i="14"/>
  <c r="C170" i="14"/>
  <c r="C174" i="14"/>
  <c r="C178" i="14"/>
  <c r="C70" i="14"/>
  <c r="C66" i="14"/>
  <c r="C62" i="14"/>
  <c r="C58" i="14"/>
  <c r="C54" i="14"/>
  <c r="C50" i="14"/>
  <c r="C46" i="14"/>
  <c r="C42" i="14"/>
  <c r="C38" i="14"/>
  <c r="C34" i="14"/>
  <c r="C30" i="14"/>
  <c r="C26" i="14"/>
  <c r="C22" i="14"/>
  <c r="C18" i="14"/>
  <c r="C14" i="14"/>
  <c r="C10" i="14"/>
  <c r="C6" i="14"/>
  <c r="A6" i="2"/>
  <c r="C1294" i="14"/>
  <c r="C1290" i="14"/>
  <c r="C1286" i="14"/>
  <c r="C1282" i="14"/>
  <c r="C1278" i="14"/>
  <c r="C1274" i="14"/>
  <c r="C1270" i="14"/>
  <c r="C1266" i="14"/>
  <c r="C1262" i="14"/>
  <c r="C1258" i="14"/>
  <c r="C1254" i="14"/>
  <c r="C1250" i="14"/>
  <c r="C1246" i="14"/>
  <c r="C1242" i="14"/>
  <c r="C1238" i="14"/>
  <c r="C1234" i="14"/>
  <c r="C1230" i="14"/>
  <c r="C1226" i="14"/>
  <c r="C1222" i="14"/>
  <c r="C1218" i="14"/>
  <c r="C1214" i="14"/>
  <c r="C1210" i="14"/>
  <c r="C1206" i="14"/>
  <c r="C1202" i="14"/>
  <c r="C1198" i="14"/>
  <c r="C1193" i="14"/>
  <c r="C1189" i="14"/>
  <c r="C1185" i="14"/>
  <c r="C1181" i="14"/>
  <c r="C1177" i="14"/>
  <c r="C1173" i="14"/>
  <c r="C1169" i="14"/>
  <c r="C1165" i="14"/>
  <c r="C1161" i="14"/>
  <c r="C1157" i="14"/>
  <c r="C1153" i="14"/>
  <c r="C1149" i="14"/>
  <c r="C1145" i="14"/>
  <c r="C1141" i="14"/>
  <c r="C1137" i="14"/>
  <c r="C74" i="14"/>
  <c r="C75" i="14"/>
  <c r="C80" i="14"/>
  <c r="C86" i="14"/>
  <c r="C91" i="14"/>
  <c r="C96" i="14"/>
  <c r="C102" i="14"/>
  <c r="C107" i="14"/>
  <c r="C112" i="14"/>
  <c r="C118" i="14"/>
  <c r="C123" i="14"/>
  <c r="C129" i="14"/>
  <c r="C135" i="14"/>
  <c r="C140" i="14"/>
  <c r="C145" i="14"/>
  <c r="C151" i="14"/>
  <c r="C156" i="14"/>
  <c r="C161" i="14"/>
  <c r="C167" i="14"/>
  <c r="C172" i="14"/>
  <c r="C177" i="14"/>
  <c r="C69" i="14"/>
  <c r="C64" i="14"/>
  <c r="C59" i="14"/>
  <c r="C53" i="14"/>
  <c r="C48" i="14"/>
  <c r="C43" i="14"/>
  <c r="C37" i="14"/>
  <c r="C32" i="14"/>
  <c r="C27" i="14"/>
  <c r="C21" i="14"/>
  <c r="C16" i="14"/>
  <c r="C11" i="14"/>
  <c r="C5" i="14"/>
  <c r="A5" i="7"/>
  <c r="C1291" i="14"/>
  <c r="C1285" i="14"/>
  <c r="C1280" i="14"/>
  <c r="C1275" i="14"/>
  <c r="C1269" i="14"/>
  <c r="C1264" i="14"/>
  <c r="C1259" i="14"/>
  <c r="C1253" i="14"/>
  <c r="C1248" i="14"/>
  <c r="C1243" i="14"/>
  <c r="C1237" i="14"/>
  <c r="C1232" i="14"/>
  <c r="C1227" i="14"/>
  <c r="C1221" i="14"/>
  <c r="C1216" i="14"/>
  <c r="C1211" i="14"/>
  <c r="C1205" i="14"/>
  <c r="C1200" i="14"/>
  <c r="C1194" i="14"/>
  <c r="C1188" i="14"/>
  <c r="C1183" i="14"/>
  <c r="C1178" i="14"/>
  <c r="C1172" i="14"/>
  <c r="C1167" i="14"/>
  <c r="C1162" i="14"/>
  <c r="C1156" i="14"/>
  <c r="C1151" i="14"/>
  <c r="C1146" i="14"/>
  <c r="C1140" i="14"/>
  <c r="C1135" i="14"/>
  <c r="C1131" i="14"/>
  <c r="C1127" i="14"/>
  <c r="C1123" i="14"/>
  <c r="C1119" i="14"/>
  <c r="C1115" i="14"/>
  <c r="C1111" i="14"/>
  <c r="C1107" i="14"/>
  <c r="C1103" i="14"/>
  <c r="C1099" i="14"/>
  <c r="C1095" i="14"/>
  <c r="C1091" i="14"/>
  <c r="C1087" i="14"/>
  <c r="C1083" i="14"/>
  <c r="C1079" i="14"/>
  <c r="C1075" i="14"/>
  <c r="C1071" i="14"/>
  <c r="C1067" i="14"/>
  <c r="C1063" i="14"/>
  <c r="C1059" i="14"/>
  <c r="C1055" i="14"/>
  <c r="C1051" i="14"/>
  <c r="C76" i="14"/>
  <c r="C82" i="14"/>
  <c r="C87" i="14"/>
  <c r="C92" i="14"/>
  <c r="C98" i="14"/>
  <c r="C103" i="14"/>
  <c r="C108" i="14"/>
  <c r="C114" i="14"/>
  <c r="C119" i="14"/>
  <c r="C124" i="14"/>
  <c r="C131" i="14"/>
  <c r="C136" i="14"/>
  <c r="C141" i="14"/>
  <c r="C147" i="14"/>
  <c r="C152" i="14"/>
  <c r="C157" i="14"/>
  <c r="C163" i="14"/>
  <c r="C168" i="14"/>
  <c r="C173" i="14"/>
  <c r="C179" i="14"/>
  <c r="C68" i="14"/>
  <c r="C63" i="14"/>
  <c r="C57" i="14"/>
  <c r="C52" i="14"/>
  <c r="C47" i="14"/>
  <c r="C41" i="14"/>
  <c r="C36" i="14"/>
  <c r="C31" i="14"/>
  <c r="C25" i="14"/>
  <c r="C20" i="14"/>
  <c r="C15" i="14"/>
  <c r="C9" i="14"/>
  <c r="C4" i="14"/>
  <c r="A5" i="6"/>
  <c r="C1289" i="14"/>
  <c r="C1284" i="14"/>
  <c r="C1279" i="14"/>
  <c r="C1273" i="14"/>
  <c r="C1268" i="14"/>
  <c r="C1263" i="14"/>
  <c r="C1257" i="14"/>
  <c r="C1252" i="14"/>
  <c r="C1247" i="14"/>
  <c r="C1241" i="14"/>
  <c r="C1236" i="14"/>
  <c r="C1231" i="14"/>
  <c r="C1225" i="14"/>
  <c r="C1220" i="14"/>
  <c r="C1215" i="14"/>
  <c r="C1209" i="14"/>
  <c r="C1204" i="14"/>
  <c r="C1199" i="14"/>
  <c r="C1192" i="14"/>
  <c r="C1187" i="14"/>
  <c r="C1182" i="14"/>
  <c r="C1176" i="14"/>
  <c r="C1171" i="14"/>
  <c r="C1166" i="14"/>
  <c r="C1160" i="14"/>
  <c r="C1155" i="14"/>
  <c r="C1150" i="14"/>
  <c r="C1144" i="14"/>
  <c r="C1139" i="14"/>
  <c r="C1134" i="14"/>
  <c r="C1130" i="14"/>
  <c r="C1126" i="14"/>
  <c r="C1122" i="14"/>
  <c r="C1118" i="14"/>
  <c r="C1114" i="14"/>
  <c r="C1110" i="14"/>
  <c r="C1106" i="14"/>
  <c r="C1102" i="14"/>
  <c r="C1098" i="14"/>
  <c r="C1094" i="14"/>
  <c r="C1090" i="14"/>
  <c r="C1086" i="14"/>
  <c r="C1082" i="14"/>
  <c r="C1078" i="14"/>
  <c r="C1074" i="14"/>
  <c r="C1070" i="14"/>
  <c r="C1066" i="14"/>
  <c r="C1062" i="14"/>
  <c r="C1058" i="14"/>
  <c r="C1054" i="14"/>
  <c r="C1050" i="14"/>
  <c r="C78" i="14"/>
  <c r="C88" i="14"/>
  <c r="C99" i="14"/>
  <c r="C110" i="14"/>
  <c r="C120" i="14"/>
  <c r="C132" i="14"/>
  <c r="C143" i="14"/>
  <c r="C153" i="14"/>
  <c r="C164" i="14"/>
  <c r="C175" i="14"/>
  <c r="C67" i="14"/>
  <c r="C56" i="14"/>
  <c r="C45" i="14"/>
  <c r="C35" i="14"/>
  <c r="C24" i="14"/>
  <c r="C13" i="14"/>
  <c r="C3" i="14"/>
  <c r="C1288" i="14"/>
  <c r="C1277" i="14"/>
  <c r="C1267" i="14"/>
  <c r="C1256" i="14"/>
  <c r="C1245" i="14"/>
  <c r="C1235" i="14"/>
  <c r="C1224" i="14"/>
  <c r="C1213" i="14"/>
  <c r="C1203" i="14"/>
  <c r="C1191" i="14"/>
  <c r="C1180" i="14"/>
  <c r="C1170" i="14"/>
  <c r="C1159" i="14"/>
  <c r="C1148" i="14"/>
  <c r="C1138" i="14"/>
  <c r="C1129" i="14"/>
  <c r="C1121" i="14"/>
  <c r="C1113" i="14"/>
  <c r="C1105" i="14"/>
  <c r="C1097" i="14"/>
  <c r="C1089" i="14"/>
  <c r="C1081" i="14"/>
  <c r="C1073" i="14"/>
  <c r="C1065" i="14"/>
  <c r="C1057" i="14"/>
  <c r="C1049" i="14"/>
  <c r="C1045" i="14"/>
  <c r="C1041" i="14"/>
  <c r="C1037" i="14"/>
  <c r="C1033" i="14"/>
  <c r="C1029" i="14"/>
  <c r="C1025" i="14"/>
  <c r="C1021" i="14"/>
  <c r="C1017" i="14"/>
  <c r="C1013" i="14"/>
  <c r="C1009" i="14"/>
  <c r="C1005" i="14"/>
  <c r="C1001" i="14"/>
  <c r="C997" i="14"/>
  <c r="C993" i="14"/>
  <c r="C989" i="14"/>
  <c r="C985" i="14"/>
  <c r="C981" i="14"/>
  <c r="C977" i="14"/>
  <c r="C973" i="14"/>
  <c r="C969" i="14"/>
  <c r="C965" i="14"/>
  <c r="C961" i="14"/>
  <c r="C957" i="14"/>
  <c r="C953" i="14"/>
  <c r="C949" i="14"/>
  <c r="C945" i="14"/>
  <c r="C941" i="14"/>
  <c r="C937" i="14"/>
  <c r="C933" i="14"/>
  <c r="C929" i="14"/>
  <c r="C925" i="14"/>
  <c r="C921" i="14"/>
  <c r="C917" i="14"/>
  <c r="C913" i="14"/>
  <c r="C908" i="14"/>
  <c r="C904" i="14"/>
  <c r="C900" i="14"/>
  <c r="C896" i="14"/>
  <c r="C892" i="14"/>
  <c r="C888" i="14"/>
  <c r="C884" i="14"/>
  <c r="C880" i="14"/>
  <c r="C876" i="14"/>
  <c r="C872" i="14"/>
  <c r="C868" i="14"/>
  <c r="C864" i="14"/>
  <c r="C860" i="14"/>
  <c r="C856" i="14"/>
  <c r="C852" i="14"/>
  <c r="C848" i="14"/>
  <c r="C844" i="14"/>
  <c r="C840" i="14"/>
  <c r="C836" i="14"/>
  <c r="C832" i="14"/>
  <c r="C828" i="14"/>
  <c r="C824" i="14"/>
  <c r="A6" i="3"/>
  <c r="C817" i="14"/>
  <c r="C813" i="14"/>
  <c r="C809" i="14"/>
  <c r="C805" i="14"/>
  <c r="C801" i="14"/>
  <c r="C797" i="14"/>
  <c r="C793" i="14"/>
  <c r="C789" i="14"/>
  <c r="C785" i="14"/>
  <c r="C780" i="14"/>
  <c r="C776" i="14"/>
  <c r="C772" i="14"/>
  <c r="C768" i="14"/>
  <c r="C764" i="14"/>
  <c r="C760" i="14"/>
  <c r="C756" i="14"/>
  <c r="C752" i="14"/>
  <c r="C748" i="14"/>
  <c r="C744" i="14"/>
  <c r="C740" i="14"/>
  <c r="C732" i="14"/>
  <c r="C720" i="14"/>
  <c r="C709" i="14"/>
  <c r="C698" i="14"/>
  <c r="C687" i="14"/>
  <c r="C676" i="14"/>
  <c r="C665" i="14"/>
  <c r="C654" i="14"/>
  <c r="C643" i="14"/>
  <c r="C632" i="14"/>
  <c r="C621" i="14"/>
  <c r="C610" i="14"/>
  <c r="C599" i="14"/>
  <c r="C588" i="14"/>
  <c r="C577" i="14"/>
  <c r="C566" i="14"/>
  <c r="C555" i="14"/>
  <c r="C545" i="14"/>
  <c r="C534" i="14"/>
  <c r="C523" i="14"/>
  <c r="C512" i="14"/>
  <c r="C501" i="14"/>
  <c r="C490" i="14"/>
  <c r="C479" i="14"/>
  <c r="C468" i="14"/>
  <c r="C456" i="14"/>
  <c r="C445" i="14"/>
  <c r="C435" i="14"/>
  <c r="C423" i="14"/>
  <c r="C412" i="14"/>
  <c r="C401" i="14"/>
  <c r="C389" i="14"/>
  <c r="C380" i="14"/>
  <c r="C372" i="14"/>
  <c r="C364" i="14"/>
  <c r="C355" i="14"/>
  <c r="C347" i="14"/>
  <c r="C339" i="14"/>
  <c r="C330" i="14"/>
  <c r="C322" i="14"/>
  <c r="C314" i="14"/>
  <c r="C305" i="14"/>
  <c r="C297" i="14"/>
  <c r="C289" i="14"/>
  <c r="C280" i="14"/>
  <c r="C272" i="14"/>
  <c r="C264" i="14"/>
  <c r="C256" i="14"/>
  <c r="C248" i="14"/>
  <c r="C239" i="14"/>
  <c r="C182" i="14"/>
  <c r="C197" i="14"/>
  <c r="C212" i="14"/>
  <c r="C228" i="14"/>
  <c r="C243" i="14"/>
  <c r="C259" i="14"/>
  <c r="C283" i="14"/>
  <c r="C298" i="14"/>
  <c r="C313" i="14"/>
  <c r="C329" i="14"/>
  <c r="C344" i="14"/>
  <c r="C359" i="14"/>
  <c r="C375" i="14"/>
  <c r="C390" i="14"/>
  <c r="C402" i="14"/>
  <c r="C415" i="14"/>
  <c r="C427" i="14"/>
  <c r="C439" i="14"/>
  <c r="C452" i="14"/>
  <c r="C466" i="14"/>
  <c r="C478" i="14"/>
  <c r="C491" i="14"/>
  <c r="C503" i="14"/>
  <c r="C516" i="14"/>
  <c r="C528" i="14"/>
  <c r="C541" i="14"/>
  <c r="C554" i="14"/>
  <c r="C567" i="14"/>
  <c r="C580" i="14"/>
  <c r="C592" i="14"/>
  <c r="C605" i="14"/>
  <c r="C624" i="14"/>
  <c r="C636" i="14"/>
  <c r="C649" i="14"/>
  <c r="C661" i="14"/>
  <c r="C674" i="14"/>
  <c r="C686" i="14"/>
  <c r="C699" i="14"/>
  <c r="C711" i="14"/>
  <c r="C724" i="14"/>
  <c r="C736" i="14"/>
  <c r="C189" i="14"/>
  <c r="C206" i="14"/>
  <c r="C225" i="14"/>
  <c r="C244" i="14"/>
  <c r="C266" i="14"/>
  <c r="C287" i="14"/>
  <c r="C309" i="14"/>
  <c r="C332" i="14"/>
  <c r="C353" i="14"/>
  <c r="C376" i="14"/>
  <c r="C417" i="14"/>
  <c r="C448" i="14"/>
  <c r="C476" i="14"/>
  <c r="C507" i="14"/>
  <c r="C537" i="14"/>
  <c r="C563" i="14"/>
  <c r="C593" i="14"/>
  <c r="C638" i="14"/>
  <c r="C668" i="14"/>
  <c r="C695" i="14"/>
  <c r="C726" i="14"/>
  <c r="C745" i="14"/>
  <c r="C755" i="14"/>
  <c r="C771" i="14"/>
  <c r="C783" i="14"/>
  <c r="C794" i="14"/>
  <c r="C804" i="14"/>
  <c r="C815" i="14"/>
  <c r="C825" i="14"/>
  <c r="C835" i="14"/>
  <c r="C846" i="14"/>
  <c r="C857" i="14"/>
  <c r="C867" i="14"/>
  <c r="C878" i="14"/>
  <c r="C894" i="14"/>
  <c r="C905" i="14"/>
  <c r="C916" i="14"/>
  <c r="C927" i="14"/>
  <c r="C938" i="14"/>
  <c r="C948" i="14"/>
  <c r="C959" i="14"/>
  <c r="C970" i="14"/>
  <c r="C980" i="14"/>
  <c r="C991" i="14"/>
  <c r="C1002" i="14"/>
  <c r="C1018" i="14"/>
  <c r="C1028" i="14"/>
  <c r="C1039" i="14"/>
  <c r="C1052" i="14"/>
  <c r="C1072" i="14"/>
  <c r="C1093" i="14"/>
  <c r="C1116" i="14"/>
  <c r="C1136" i="14"/>
  <c r="C1164" i="14"/>
  <c r="C1195" i="14"/>
  <c r="C1223" i="14"/>
  <c r="C1251" i="14"/>
  <c r="C1281" i="14"/>
  <c r="C12" i="14"/>
  <c r="C40" i="14"/>
  <c r="C55" i="14"/>
  <c r="C71" i="14"/>
  <c r="C169" i="14"/>
  <c r="C155" i="14"/>
  <c r="C139" i="14"/>
  <c r="C127" i="14"/>
  <c r="C111" i="14"/>
  <c r="C83" i="14"/>
  <c r="C190" i="14"/>
  <c r="C205" i="14"/>
  <c r="C221" i="14"/>
  <c r="C236" i="14"/>
  <c r="C251" i="14"/>
  <c r="C267" i="14"/>
  <c r="C275" i="14"/>
  <c r="C290" i="14"/>
  <c r="C306" i="14"/>
  <c r="C321" i="14"/>
  <c r="C337" i="14"/>
  <c r="C352" i="14"/>
  <c r="C367" i="14"/>
  <c r="C383" i="14"/>
  <c r="C396" i="14"/>
  <c r="C408" i="14"/>
  <c r="C421" i="14"/>
  <c r="C433" i="14"/>
  <c r="C446" i="14"/>
  <c r="C458" i="14"/>
  <c r="C472" i="14"/>
  <c r="C484" i="14"/>
  <c r="C497" i="14"/>
  <c r="C509" i="14"/>
  <c r="C522" i="14"/>
  <c r="C535" i="14"/>
  <c r="C548" i="14"/>
  <c r="C560" i="14"/>
  <c r="C573" i="14"/>
  <c r="C586" i="14"/>
  <c r="C598" i="14"/>
  <c r="C611" i="14"/>
  <c r="C617" i="14"/>
  <c r="C630" i="14"/>
  <c r="C642" i="14"/>
  <c r="C655" i="14"/>
  <c r="C667" i="14"/>
  <c r="C680" i="14"/>
  <c r="C693" i="14"/>
  <c r="C705" i="14"/>
  <c r="C717" i="14"/>
  <c r="C730" i="14"/>
  <c r="C181" i="14"/>
  <c r="C198" i="14"/>
  <c r="C215" i="14"/>
  <c r="C233" i="14"/>
  <c r="C254" i="14"/>
  <c r="C276" i="14"/>
  <c r="C299" i="14"/>
  <c r="C320" i="14"/>
  <c r="C343" i="14"/>
  <c r="C366" i="14"/>
  <c r="C387" i="14"/>
  <c r="C403" i="14"/>
  <c r="C432" i="14"/>
  <c r="C463" i="14"/>
  <c r="C493" i="14"/>
  <c r="C520" i="14"/>
  <c r="C550" i="14"/>
  <c r="C579" i="14"/>
  <c r="C607" i="14"/>
  <c r="C623" i="14"/>
  <c r="C651" i="14"/>
  <c r="C681" i="14"/>
  <c r="C712" i="14"/>
  <c r="C738" i="14"/>
  <c r="C750" i="14"/>
  <c r="C761" i="14"/>
  <c r="C766" i="14"/>
  <c r="C777" i="14"/>
  <c r="C788" i="14"/>
  <c r="C799" i="14"/>
  <c r="C810" i="14"/>
  <c r="C820" i="14"/>
  <c r="C830" i="14"/>
  <c r="C841" i="14"/>
  <c r="C851" i="14"/>
  <c r="C862" i="14"/>
  <c r="C873" i="14"/>
  <c r="C883" i="14"/>
  <c r="C889" i="14"/>
  <c r="C899" i="14"/>
  <c r="C910" i="14"/>
  <c r="C922" i="14"/>
  <c r="C932" i="14"/>
  <c r="C943" i="14"/>
  <c r="C954" i="14"/>
  <c r="C964" i="14"/>
  <c r="C975" i="14"/>
  <c r="C986" i="14"/>
  <c r="C996" i="14"/>
  <c r="C1007" i="14"/>
  <c r="C1012" i="14"/>
  <c r="C1023" i="14"/>
  <c r="C1034" i="14"/>
  <c r="C1044" i="14"/>
  <c r="C1061" i="14"/>
  <c r="C1084" i="14"/>
  <c r="C1104" i="14"/>
  <c r="C1125" i="14"/>
  <c r="C1152" i="14"/>
  <c r="C1179" i="14"/>
  <c r="C1208" i="14"/>
  <c r="C1239" i="14"/>
  <c r="C1265" i="14"/>
  <c r="C1293" i="14"/>
  <c r="C28" i="14"/>
  <c r="C95" i="14"/>
  <c r="C184" i="14"/>
  <c r="C192" i="14"/>
  <c r="C199" i="14"/>
  <c r="C207" i="14"/>
  <c r="C214" i="14"/>
  <c r="C223" i="14"/>
  <c r="C230" i="14"/>
  <c r="C238" i="14"/>
  <c r="C245" i="14"/>
  <c r="C253" i="14"/>
  <c r="C261" i="14"/>
  <c r="C268" i="14"/>
  <c r="C277" i="14"/>
  <c r="C285" i="14"/>
  <c r="C292" i="14"/>
  <c r="C300" i="14"/>
  <c r="C308" i="14"/>
  <c r="C315" i="14"/>
  <c r="C323" i="14"/>
  <c r="C331" i="14"/>
  <c r="C338" i="14"/>
  <c r="C346" i="14"/>
  <c r="C354" i="14"/>
  <c r="C361" i="14"/>
  <c r="C369" i="14"/>
  <c r="C377" i="14"/>
  <c r="C385" i="14"/>
  <c r="C391" i="14"/>
  <c r="C397" i="14"/>
  <c r="C404" i="14"/>
  <c r="C410" i="14"/>
  <c r="C416" i="14"/>
  <c r="C422" i="14"/>
  <c r="C428" i="14"/>
  <c r="C434" i="14"/>
  <c r="C441" i="14"/>
  <c r="C447" i="14"/>
  <c r="C454" i="14"/>
  <c r="C461" i="14"/>
  <c r="C467" i="14"/>
  <c r="C474" i="14"/>
  <c r="C480" i="14"/>
  <c r="C486" i="14"/>
  <c r="C492" i="14"/>
  <c r="C498" i="14"/>
  <c r="C505" i="14"/>
  <c r="C511" i="14"/>
  <c r="C517" i="14"/>
  <c r="C524" i="14"/>
  <c r="C530" i="14"/>
  <c r="C536" i="14"/>
  <c r="C542" i="14"/>
  <c r="C549" i="14"/>
  <c r="C556" i="14"/>
  <c r="C562" i="14"/>
  <c r="C568" i="14"/>
  <c r="C575" i="14"/>
  <c r="C581" i="14"/>
  <c r="C587" i="14"/>
  <c r="C594" i="14"/>
  <c r="C600" i="14"/>
  <c r="C606" i="14"/>
  <c r="C612" i="14"/>
  <c r="C619" i="14"/>
  <c r="C625" i="14"/>
  <c r="C631" i="14"/>
  <c r="C637" i="14"/>
  <c r="C644" i="14"/>
  <c r="C650" i="14"/>
  <c r="C656" i="14"/>
  <c r="C663" i="14"/>
  <c r="C669" i="14"/>
  <c r="C675" i="14"/>
  <c r="C682" i="14"/>
  <c r="C688" i="14"/>
  <c r="C694" i="14"/>
  <c r="C700" i="14"/>
  <c r="C706" i="14"/>
  <c r="C713" i="14"/>
  <c r="C719" i="14"/>
  <c r="C725" i="14"/>
  <c r="C731" i="14"/>
  <c r="C739" i="14"/>
  <c r="C183" i="14"/>
  <c r="C191" i="14"/>
  <c r="C200" i="14"/>
  <c r="C208" i="14"/>
  <c r="C218" i="14"/>
  <c r="C227" i="14"/>
  <c r="C235" i="14"/>
  <c r="C246" i="14"/>
  <c r="C258" i="14"/>
  <c r="C269" i="14"/>
  <c r="C278" i="14"/>
  <c r="C291" i="14"/>
  <c r="C301" i="14"/>
  <c r="C312" i="14"/>
  <c r="C324" i="14"/>
  <c r="C334" i="14"/>
  <c r="C345" i="14"/>
  <c r="C357" i="14"/>
  <c r="C368" i="14"/>
  <c r="C378" i="14"/>
  <c r="C392" i="14"/>
  <c r="C406" i="14"/>
  <c r="C420" i="14"/>
  <c r="C437" i="14"/>
  <c r="C450" i="14"/>
  <c r="C465" i="14"/>
  <c r="C482" i="14"/>
  <c r="C496" i="14"/>
  <c r="C510" i="14"/>
  <c r="C526" i="14"/>
  <c r="C540" i="14"/>
  <c r="C553" i="14"/>
  <c r="C569" i="14"/>
  <c r="C582" i="14"/>
  <c r="C596" i="14"/>
  <c r="C613" i="14"/>
  <c r="C626" i="14"/>
  <c r="C640" i="14"/>
  <c r="C657" i="14"/>
  <c r="C670" i="14"/>
  <c r="C684" i="14"/>
  <c r="C701" i="14"/>
  <c r="C715" i="14"/>
  <c r="C729" i="14"/>
  <c r="C741" i="14"/>
  <c r="C746" i="14"/>
  <c r="C751" i="14"/>
  <c r="C757" i="14"/>
  <c r="C762" i="14"/>
  <c r="C767" i="14"/>
  <c r="C773" i="14"/>
  <c r="C778" i="14"/>
  <c r="C784" i="14"/>
  <c r="C790" i="14"/>
  <c r="C795" i="14"/>
  <c r="C800" i="14"/>
  <c r="C806" i="14"/>
  <c r="C811" i="14"/>
  <c r="C816" i="14"/>
  <c r="C821" i="14"/>
  <c r="C826" i="14"/>
  <c r="C831" i="14"/>
  <c r="C837" i="14"/>
  <c r="C842" i="14"/>
  <c r="C847" i="14"/>
  <c r="C853" i="14"/>
  <c r="C858" i="14"/>
  <c r="C863" i="14"/>
  <c r="C869" i="14"/>
  <c r="C874" i="14"/>
  <c r="C879" i="14"/>
  <c r="C885" i="14"/>
  <c r="C890" i="14"/>
  <c r="C895" i="14"/>
  <c r="C901" i="14"/>
  <c r="C906" i="14"/>
  <c r="C912" i="14"/>
  <c r="C918" i="14"/>
  <c r="C923" i="14"/>
  <c r="C928" i="14"/>
  <c r="C934" i="14"/>
  <c r="C939" i="14"/>
  <c r="C944" i="14"/>
  <c r="C950" i="14"/>
  <c r="C955" i="14"/>
  <c r="C960" i="14"/>
  <c r="C966" i="14"/>
  <c r="C971" i="14"/>
  <c r="C976" i="14"/>
  <c r="C982" i="14"/>
  <c r="C987" i="14"/>
  <c r="C992" i="14"/>
  <c r="C998" i="14"/>
  <c r="C1003" i="14"/>
  <c r="C1008" i="14"/>
  <c r="C1014" i="14"/>
  <c r="C1019" i="14"/>
  <c r="C1024" i="14"/>
  <c r="C1030" i="14"/>
  <c r="C1035" i="14"/>
  <c r="C1040" i="14"/>
  <c r="C1046" i="14"/>
  <c r="C1053" i="14"/>
  <c r="C1064" i="14"/>
  <c r="C1076" i="14"/>
  <c r="C1085" i="14"/>
  <c r="C1096" i="14"/>
  <c r="C1108" i="14"/>
  <c r="C1117" i="14"/>
  <c r="C1128" i="14"/>
  <c r="C1142" i="14"/>
  <c r="C1154" i="14"/>
  <c r="C1168" i="14"/>
  <c r="C1184" i="14"/>
  <c r="C1197" i="14"/>
  <c r="C1212" i="14"/>
  <c r="C1228" i="14"/>
  <c r="C1240" i="14"/>
  <c r="C1255" i="14"/>
  <c r="C1271" i="14"/>
  <c r="C1283" i="14"/>
  <c r="A5" i="9"/>
  <c r="C17" i="14"/>
  <c r="C29" i="14"/>
  <c r="C44" i="14"/>
  <c r="C60" i="14"/>
  <c r="C72" i="14"/>
  <c r="C165" i="14"/>
  <c r="C149" i="14"/>
  <c r="C137" i="14"/>
  <c r="C122" i="14"/>
  <c r="C106" i="14"/>
  <c r="C94" i="14"/>
  <c r="C79" i="14"/>
  <c r="D68" i="7"/>
  <c r="H1065" i="14" s="1"/>
  <c r="H82" i="14"/>
  <c r="F107" i="7"/>
  <c r="H1195" i="14" s="1"/>
  <c r="K17" i="5"/>
  <c r="H398" i="14" s="1"/>
  <c r="D46" i="2"/>
  <c r="D56" i="2" s="1"/>
  <c r="E18" i="7"/>
  <c r="H982" i="14" s="1"/>
  <c r="I18" i="9"/>
  <c r="H1286" i="14" s="1"/>
  <c r="B31" i="9"/>
  <c r="D40" i="6"/>
  <c r="H488" i="14" s="1"/>
  <c r="M40" i="6"/>
  <c r="H758" i="14" s="1"/>
  <c r="J35" i="6"/>
  <c r="H663" i="14" s="1"/>
  <c r="P40" i="6"/>
  <c r="H848" i="14" s="1"/>
  <c r="N29" i="6"/>
  <c r="H777" i="14" s="1"/>
  <c r="J30" i="6"/>
  <c r="H658" i="14" s="1"/>
  <c r="Q32" i="6"/>
  <c r="H870" i="14" s="1"/>
  <c r="J39" i="6"/>
  <c r="H667" i="14" s="1"/>
  <c r="C17" i="5"/>
  <c r="C31" i="5" s="1"/>
  <c r="C34" i="5" s="1"/>
  <c r="H239" i="14" s="1"/>
  <c r="D14" i="12"/>
  <c r="D9" i="12"/>
  <c r="E17" i="5"/>
  <c r="H266" i="14" s="1"/>
  <c r="J17" i="5"/>
  <c r="B31" i="10"/>
  <c r="B31" i="11"/>
  <c r="B33" i="10"/>
  <c r="B33" i="11"/>
  <c r="B114" i="7"/>
  <c r="A5" i="10"/>
  <c r="B111" i="7"/>
  <c r="C48" i="6"/>
  <c r="H31" i="3"/>
  <c r="H36" i="3" s="1"/>
  <c r="H558" i="14"/>
  <c r="K40" i="6"/>
  <c r="H698" i="14" s="1"/>
  <c r="Q18" i="6"/>
  <c r="H858" i="14" s="1"/>
  <c r="J37" i="6"/>
  <c r="H665" i="14" s="1"/>
  <c r="H778" i="14"/>
  <c r="D12" i="12"/>
  <c r="O40" i="6"/>
  <c r="H818" i="14" s="1"/>
  <c r="G34" i="6"/>
  <c r="Q25" i="6"/>
  <c r="H864" i="14" s="1"/>
  <c r="L40" i="6"/>
  <c r="H728" i="14" s="1"/>
  <c r="N34" i="6"/>
  <c r="H782" i="14" s="1"/>
  <c r="Q11" i="6"/>
  <c r="H851" i="14" s="1"/>
  <c r="H837" i="14"/>
  <c r="Q38" i="6"/>
  <c r="I40" i="6"/>
  <c r="H638" i="14" s="1"/>
  <c r="H779" i="14"/>
  <c r="H781" i="14"/>
  <c r="H783" i="14"/>
  <c r="L19" i="5"/>
  <c r="H422" i="14" s="1"/>
  <c r="D21" i="7"/>
  <c r="H953" i="14" s="1"/>
  <c r="E13" i="7"/>
  <c r="H977" i="14" s="1"/>
  <c r="G71" i="2"/>
  <c r="H120" i="14" s="1"/>
  <c r="J31" i="6"/>
  <c r="H659" i="14" s="1"/>
  <c r="L18" i="5"/>
  <c r="H421" i="14" s="1"/>
  <c r="H561" i="14"/>
  <c r="H564" i="14"/>
  <c r="D31" i="3"/>
  <c r="D36" i="3" s="1"/>
  <c r="H37" i="2"/>
  <c r="H95" i="2" s="1"/>
  <c r="D94" i="2"/>
  <c r="C85" i="2"/>
  <c r="H64" i="14" s="1"/>
  <c r="D45" i="7"/>
  <c r="Q26" i="6"/>
  <c r="H865" i="14" s="1"/>
  <c r="J33" i="6"/>
  <c r="H661" i="14" s="1"/>
  <c r="H40" i="6"/>
  <c r="H608" i="14" s="1"/>
  <c r="H565" i="14"/>
  <c r="H767" i="14"/>
  <c r="H554" i="14"/>
  <c r="H284" i="14"/>
  <c r="F17" i="5"/>
  <c r="H288" i="14" s="1"/>
  <c r="M17" i="5"/>
  <c r="H442" i="14" s="1"/>
  <c r="H438" i="14"/>
  <c r="H338" i="14"/>
  <c r="H873" i="14"/>
  <c r="H1167" i="14"/>
  <c r="F98" i="7"/>
  <c r="D17" i="5"/>
  <c r="L13" i="5"/>
  <c r="H416" i="14" s="1"/>
  <c r="H240" i="14"/>
  <c r="H350" i="14"/>
  <c r="I17" i="5"/>
  <c r="H241" i="14"/>
  <c r="L14" i="5"/>
  <c r="H417" i="14" s="1"/>
  <c r="H17" i="5"/>
  <c r="H332" i="14" s="1"/>
  <c r="H329" i="14"/>
  <c r="H664" i="14"/>
  <c r="H294" i="14"/>
  <c r="R22" i="6"/>
  <c r="H574" i="14"/>
  <c r="H785" i="14"/>
  <c r="H576" i="14"/>
  <c r="H787" i="14"/>
  <c r="H789" i="14"/>
  <c r="H648" i="14"/>
  <c r="D15" i="12"/>
  <c r="B53" i="3"/>
  <c r="D13" i="12"/>
  <c r="C68" i="7"/>
  <c r="H1022" i="14" s="1"/>
  <c r="J15" i="6"/>
  <c r="H645" i="14" s="1"/>
  <c r="J13" i="6"/>
  <c r="H643" i="14" s="1"/>
  <c r="H829" i="14"/>
  <c r="H87" i="14"/>
  <c r="B54" i="4"/>
  <c r="H918" i="14"/>
  <c r="C21" i="7"/>
  <c r="H921" i="14" s="1"/>
  <c r="Q24" i="6"/>
  <c r="H863" i="14" s="1"/>
  <c r="H764" i="14"/>
  <c r="Q14" i="6"/>
  <c r="H854" i="14" s="1"/>
  <c r="H654" i="14"/>
  <c r="R21" i="6"/>
  <c r="H891" i="14" s="1"/>
  <c r="H651" i="14"/>
  <c r="G19" i="6"/>
  <c r="H559" i="14" s="1"/>
  <c r="H69" i="14"/>
  <c r="G29" i="6"/>
  <c r="H567" i="14" s="1"/>
  <c r="I27" i="9"/>
  <c r="H1294" i="14" s="1"/>
  <c r="C44" i="4"/>
  <c r="H212" i="14" s="1"/>
  <c r="E77" i="7"/>
  <c r="H1114" i="14" s="1"/>
  <c r="D87" i="7"/>
  <c r="H1081" i="14" s="1"/>
  <c r="E92" i="7"/>
  <c r="H1129" i="14" s="1"/>
  <c r="H1038" i="14"/>
  <c r="C98" i="7"/>
  <c r="H1049" i="14" s="1"/>
  <c r="H1043" i="14"/>
  <c r="E82" i="7"/>
  <c r="H1119" i="14" s="1"/>
  <c r="E73" i="7"/>
  <c r="E58" i="7"/>
  <c r="H1098" i="14" s="1"/>
  <c r="E40" i="7"/>
  <c r="H1001" i="14" s="1"/>
  <c r="E35" i="7"/>
  <c r="H996" i="14" s="1"/>
  <c r="C45" i="7"/>
  <c r="H942" i="14" s="1"/>
  <c r="E26" i="7"/>
  <c r="J41" i="6"/>
  <c r="F40" i="6"/>
  <c r="H548" i="14" s="1"/>
  <c r="E40" i="6"/>
  <c r="E42" i="6" s="1"/>
  <c r="H520" i="14" s="1"/>
  <c r="J32" i="6"/>
  <c r="G27" i="6"/>
  <c r="J27" i="6" s="1"/>
  <c r="H655" i="14"/>
  <c r="H653" i="14"/>
  <c r="H506" i="14"/>
  <c r="N27" i="6"/>
  <c r="Q27" i="6" s="1"/>
  <c r="H866" i="14" s="1"/>
  <c r="H772" i="14"/>
  <c r="H652" i="14"/>
  <c r="R23" i="6"/>
  <c r="H892" i="14" s="1"/>
  <c r="H560" i="14"/>
  <c r="R20" i="6"/>
  <c r="H890" i="14" s="1"/>
  <c r="H650" i="14"/>
  <c r="Q15" i="6"/>
  <c r="H855" i="14" s="1"/>
  <c r="Q12" i="6"/>
  <c r="H852" i="14" s="1"/>
  <c r="H853" i="14"/>
  <c r="Q16" i="6"/>
  <c r="H856" i="14" s="1"/>
  <c r="H763" i="14"/>
  <c r="N19" i="6"/>
  <c r="J17" i="6"/>
  <c r="H644" i="14"/>
  <c r="J12" i="6"/>
  <c r="H642" i="14" s="1"/>
  <c r="J11" i="6"/>
  <c r="L23" i="5"/>
  <c r="H426" i="14" s="1"/>
  <c r="L26" i="5"/>
  <c r="H429" i="14" s="1"/>
  <c r="H161" i="14"/>
  <c r="G31" i="3"/>
  <c r="C31" i="3"/>
  <c r="H143" i="14" s="1"/>
  <c r="H137" i="14"/>
  <c r="G56" i="2"/>
  <c r="G37" i="2"/>
  <c r="C11" i="12" s="1"/>
  <c r="H79" i="14"/>
  <c r="H57" i="14"/>
  <c r="H22" i="14"/>
  <c r="D15" i="13"/>
  <c r="D44" i="4"/>
  <c r="D46" i="4" s="1"/>
  <c r="B98" i="2"/>
  <c r="B50" i="3"/>
  <c r="B38" i="5"/>
  <c r="G31" i="5" l="1"/>
  <c r="G34" i="5" s="1"/>
  <c r="H327" i="14" s="1"/>
  <c r="R36" i="6"/>
  <c r="H904" i="14" s="1"/>
  <c r="D46" i="7"/>
  <c r="H975" i="14" s="1"/>
  <c r="H222" i="14"/>
  <c r="E31" i="5"/>
  <c r="E34" i="5" s="1"/>
  <c r="H283" i="14" s="1"/>
  <c r="Q29" i="6"/>
  <c r="H867" i="14" s="1"/>
  <c r="M42" i="6"/>
  <c r="H760" i="14" s="1"/>
  <c r="O42" i="6"/>
  <c r="H820" i="14" s="1"/>
  <c r="R30" i="6"/>
  <c r="H898" i="14" s="1"/>
  <c r="C56" i="2"/>
  <c r="H41" i="14" s="1"/>
  <c r="F31" i="5"/>
  <c r="H302" i="14" s="1"/>
  <c r="H236" i="14"/>
  <c r="R35" i="6"/>
  <c r="H903" i="14" s="1"/>
  <c r="K31" i="5"/>
  <c r="R37" i="6"/>
  <c r="H905" i="14" s="1"/>
  <c r="D42" i="6"/>
  <c r="H490" i="14" s="1"/>
  <c r="R39" i="6"/>
  <c r="H907" i="14" s="1"/>
  <c r="I42" i="6"/>
  <c r="H640" i="14" s="1"/>
  <c r="P42" i="6"/>
  <c r="H850" i="14" s="1"/>
  <c r="H376" i="14"/>
  <c r="J31" i="5"/>
  <c r="K42" i="6"/>
  <c r="H700" i="14" s="1"/>
  <c r="L42" i="6"/>
  <c r="H730" i="14" s="1"/>
  <c r="R18" i="6"/>
  <c r="H888" i="14" s="1"/>
  <c r="M31" i="5"/>
  <c r="M34" i="5" s="1"/>
  <c r="H459" i="14" s="1"/>
  <c r="H572" i="14"/>
  <c r="J34" i="6"/>
  <c r="H662" i="14" s="1"/>
  <c r="R25" i="6"/>
  <c r="H894" i="14" s="1"/>
  <c r="Q34" i="6"/>
  <c r="H872" i="14" s="1"/>
  <c r="H876" i="14"/>
  <c r="R38" i="6"/>
  <c r="H906" i="14" s="1"/>
  <c r="N40" i="6"/>
  <c r="N42" i="6" s="1"/>
  <c r="H790" i="14" s="1"/>
  <c r="E21" i="7"/>
  <c r="H985" i="14" s="1"/>
  <c r="R31" i="6"/>
  <c r="H899" i="14" s="1"/>
  <c r="D95" i="2"/>
  <c r="E68" i="7"/>
  <c r="H1108" i="14" s="1"/>
  <c r="H974" i="14"/>
  <c r="G79" i="2"/>
  <c r="D11" i="13" s="1"/>
  <c r="C94" i="2"/>
  <c r="H71" i="14" s="1"/>
  <c r="D33" i="3"/>
  <c r="R33" i="6"/>
  <c r="H901" i="14" s="1"/>
  <c r="H33" i="3"/>
  <c r="H42" i="6"/>
  <c r="H610" i="14" s="1"/>
  <c r="R24" i="6"/>
  <c r="H893" i="14" s="1"/>
  <c r="R26" i="6"/>
  <c r="H895" i="14" s="1"/>
  <c r="H566" i="14"/>
  <c r="H31" i="5"/>
  <c r="I31" i="5"/>
  <c r="H354" i="14"/>
  <c r="H244" i="14"/>
  <c r="D31" i="5"/>
  <c r="L17" i="5"/>
  <c r="H420" i="14" s="1"/>
  <c r="H1178" i="14"/>
  <c r="F99" i="7"/>
  <c r="H1179" i="14" s="1"/>
  <c r="J19" i="6"/>
  <c r="H649" i="14" s="1"/>
  <c r="R13" i="6"/>
  <c r="H883" i="14" s="1"/>
  <c r="R14" i="6"/>
  <c r="H884" i="14" s="1"/>
  <c r="J29" i="6"/>
  <c r="H657" i="14" s="1"/>
  <c r="R12" i="6"/>
  <c r="H882" i="14" s="1"/>
  <c r="F42" i="6"/>
  <c r="H550" i="14" s="1"/>
  <c r="H94" i="14"/>
  <c r="D4" i="13"/>
  <c r="C46" i="4"/>
  <c r="H214" i="14" s="1"/>
  <c r="D98" i="7"/>
  <c r="D99" i="7" s="1"/>
  <c r="H1093" i="14" s="1"/>
  <c r="E87" i="7"/>
  <c r="H1124" i="14" s="1"/>
  <c r="C99" i="7"/>
  <c r="H1050" i="14" s="1"/>
  <c r="H1110" i="14"/>
  <c r="C46" i="7"/>
  <c r="H943" i="14" s="1"/>
  <c r="H987" i="14"/>
  <c r="E45" i="7"/>
  <c r="H669" i="14"/>
  <c r="R41" i="6"/>
  <c r="H909" i="14" s="1"/>
  <c r="R32" i="6"/>
  <c r="H900" i="14" s="1"/>
  <c r="H660" i="14"/>
  <c r="G40" i="6"/>
  <c r="H518" i="14"/>
  <c r="H776" i="14"/>
  <c r="R27" i="6"/>
  <c r="H896" i="14" s="1"/>
  <c r="H656" i="14"/>
  <c r="R15" i="6"/>
  <c r="H885" i="14" s="1"/>
  <c r="H769" i="14"/>
  <c r="Q19" i="6"/>
  <c r="R17" i="6"/>
  <c r="H887" i="14" s="1"/>
  <c r="H647" i="14"/>
  <c r="R16" i="6"/>
  <c r="H886" i="14" s="1"/>
  <c r="H641" i="14"/>
  <c r="R11" i="6"/>
  <c r="H881" i="14" s="1"/>
  <c r="G36" i="3"/>
  <c r="H174" i="14" s="1"/>
  <c r="H170" i="14"/>
  <c r="C36" i="3"/>
  <c r="H147" i="14" s="1"/>
  <c r="C33" i="3"/>
  <c r="H144" i="14" s="1"/>
  <c r="G33" i="3"/>
  <c r="H171" i="14" s="1"/>
  <c r="D18" i="13"/>
  <c r="H107" i="14"/>
  <c r="C7" i="12"/>
  <c r="D7" i="12" s="1"/>
  <c r="H37" i="3"/>
  <c r="D42" i="3"/>
  <c r="D45" i="3" s="1"/>
  <c r="D37" i="3"/>
  <c r="H324" i="14" l="1"/>
  <c r="F34" i="5"/>
  <c r="H305" i="14" s="1"/>
  <c r="H280" i="14"/>
  <c r="H412" i="14"/>
  <c r="K34" i="5"/>
  <c r="H415" i="14" s="1"/>
  <c r="R34" i="6"/>
  <c r="H902" i="14" s="1"/>
  <c r="J34" i="5"/>
  <c r="H393" i="14" s="1"/>
  <c r="H390" i="14"/>
  <c r="H456" i="14"/>
  <c r="H788" i="14"/>
  <c r="Q40" i="6"/>
  <c r="H878" i="14" s="1"/>
  <c r="C95" i="2"/>
  <c r="D16" i="13" s="1"/>
  <c r="D10" i="13"/>
  <c r="D12" i="13"/>
  <c r="D5" i="13"/>
  <c r="D19" i="13" s="1"/>
  <c r="G95" i="2"/>
  <c r="H125" i="14" s="1"/>
  <c r="D13" i="13"/>
  <c r="H124" i="14"/>
  <c r="R29" i="6"/>
  <c r="H897" i="14" s="1"/>
  <c r="I34" i="5"/>
  <c r="H371" i="14" s="1"/>
  <c r="H368" i="14"/>
  <c r="D34" i="5"/>
  <c r="H258" i="14"/>
  <c r="L31" i="5"/>
  <c r="H434" i="14" s="1"/>
  <c r="H346" i="14"/>
  <c r="H34" i="5"/>
  <c r="H349" i="14" s="1"/>
  <c r="R19" i="6"/>
  <c r="H889" i="14" s="1"/>
  <c r="E10" i="12"/>
  <c r="D10" i="12" s="1"/>
  <c r="E98" i="7"/>
  <c r="H1135" i="14" s="1"/>
  <c r="H1092" i="14"/>
  <c r="H1006" i="14"/>
  <c r="E46" i="7"/>
  <c r="H1007" i="14" s="1"/>
  <c r="J40" i="6"/>
  <c r="H578" i="14"/>
  <c r="G42" i="6"/>
  <c r="H580" i="14" s="1"/>
  <c r="H859" i="14"/>
  <c r="D8" i="13"/>
  <c r="C42" i="3"/>
  <c r="H153" i="14" s="1"/>
  <c r="C37" i="3"/>
  <c r="G37" i="3"/>
  <c r="H175" i="14" s="1"/>
  <c r="H42" i="3"/>
  <c r="D21" i="13" l="1"/>
  <c r="D23" i="13" s="1"/>
  <c r="Q42" i="6"/>
  <c r="H880" i="14" s="1"/>
  <c r="C6" i="12"/>
  <c r="D6" i="13"/>
  <c r="D20" i="13" s="1"/>
  <c r="H72" i="14"/>
  <c r="E6" i="12"/>
  <c r="H261" i="14"/>
  <c r="L34" i="5"/>
  <c r="E99" i="7"/>
  <c r="H1136" i="14" s="1"/>
  <c r="H668" i="14"/>
  <c r="R40" i="6"/>
  <c r="J42" i="6"/>
  <c r="H670" i="14" s="1"/>
  <c r="C45" i="3"/>
  <c r="H156" i="14" s="1"/>
  <c r="H148" i="14"/>
  <c r="G42" i="3"/>
  <c r="G44" i="3" s="1"/>
  <c r="H178" i="14" s="1"/>
  <c r="H45" i="3"/>
  <c r="D44" i="3"/>
  <c r="H44" i="3"/>
  <c r="D24" i="13" l="1"/>
  <c r="D22" i="13"/>
  <c r="D6" i="12"/>
  <c r="E11" i="12"/>
  <c r="D11" i="12" s="1"/>
  <c r="H437" i="14"/>
  <c r="H908" i="14"/>
  <c r="R42" i="6"/>
  <c r="H910" i="14" s="1"/>
  <c r="C44" i="3"/>
  <c r="H176" i="14"/>
  <c r="G45" i="3"/>
  <c r="H179" i="14" s="1"/>
  <c r="E8" i="12" l="1"/>
  <c r="D8" i="12" s="1"/>
  <c r="H155" i="14"/>
  <c r="I13" i="8" l="1"/>
  <c r="H18" i="8"/>
  <c r="I18" i="8" s="1"/>
</calcChain>
</file>

<file path=xl/sharedStrings.xml><?xml version="1.0" encoding="utf-8"?>
<sst xmlns="http://schemas.openxmlformats.org/spreadsheetml/2006/main" count="4313" uniqueCount="974">
  <si>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</si>
  <si>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</si>
  <si>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</si>
  <si>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</si>
  <si>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</si>
  <si>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</si>
  <si>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</si>
  <si>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</si>
  <si>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</si>
  <si>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</si>
  <si>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</si>
  <si>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</si>
  <si>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</si>
  <si>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</si>
  <si>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</si>
  <si>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</si>
  <si>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</si>
  <si>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</si>
  <si>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</si>
  <si>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</si>
  <si>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</si>
  <si>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</si>
  <si>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</si>
  <si>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</si>
  <si>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</si>
  <si>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</si>
  <si>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</si>
  <si>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</si>
  <si>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</si>
  <si>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</si>
  <si>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</si>
  <si>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</si>
  <si>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</si>
  <si>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</si>
  <si>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</si>
  <si>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</si>
  <si>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</si>
  <si>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</si>
  <si>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</si>
  <si>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</si>
  <si>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</si>
  <si>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</si>
  <si>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</si>
  <si>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</si>
  <si>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</si>
  <si>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</si>
  <si>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</si>
  <si>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</si>
  <si>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</si>
  <si>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</si>
  <si>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</si>
  <si>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</si>
  <si>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</si>
  <si>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</si>
  <si>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</si>
  <si>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</si>
  <si>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</si>
  <si>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</si>
  <si>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</si>
  <si>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</si>
  <si>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</si>
  <si>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</si>
  <si>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</si>
  <si>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</si>
  <si>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</si>
  <si>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</si>
  <si>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</si>
  <si>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</si>
  <si>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</si>
  <si>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</si>
  <si>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</si>
  <si>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</si>
  <si>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</si>
  <si>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</si>
  <si>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</si>
  <si>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</si>
  <si>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</si>
  <si>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</si>
  <si>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</si>
  <si>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</si>
  <si>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</si>
  <si>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</si>
  <si>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</si>
  <si>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</si>
  <si>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</si>
  <si>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</si>
  <si>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</si>
  <si>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</si>
  <si>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</si>
  <si>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</si>
  <si>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</si>
  <si>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</si>
  <si>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</si>
  <si>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</si>
  <si>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</si>
  <si>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</si>
  <si>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</si>
  <si>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</si>
  <si>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</si>
  <si>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</si>
  <si>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</si>
  <si>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</si>
  <si>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</si>
  <si>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</si>
  <si>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</si>
  <si>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</si>
  <si>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</si>
  <si>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</si>
  <si>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</si>
  <si>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</si>
  <si>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</si>
  <si>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</si>
  <si>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</si>
  <si>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</si>
  <si>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</si>
  <si>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</si>
  <si>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</si>
  <si>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</si>
  <si>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</si>
  <si>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</si>
  <si>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</si>
  <si>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</si>
  <si>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</si>
  <si>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</si>
  <si>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</si>
  <si>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</si>
  <si>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</si>
  <si>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</si>
  <si>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</si>
  <si>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</si>
  <si>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</si>
  <si>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</si>
  <si>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</si>
  <si>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</si>
  <si>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</si>
  <si>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</si>
  <si>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</si>
  <si>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</si>
  <si>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</si>
  <si>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</si>
  <si>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</si>
  <si>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</si>
  <si>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</si>
  <si>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</si>
  <si>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</si>
  <si>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</si>
  <si>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</si>
  <si>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</si>
  <si>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</si>
  <si>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</si>
  <si>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</si>
  <si>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</si>
  <si>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</si>
  <si>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</si>
  <si>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</si>
  <si>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</si>
  <si>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</si>
  <si>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</si>
  <si>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</si>
  <si>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</si>
  <si>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</si>
  <si>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</si>
  <si>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</si>
  <si>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</si>
  <si>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</si>
  <si>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</si>
  <si>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</si>
  <si>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</si>
  <si>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</si>
  <si>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</si>
  <si>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</si>
  <si>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</si>
  <si>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</si>
  <si>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</si>
  <si>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</si>
  <si>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</si>
  <si>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</si>
  <si>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</si>
  <si>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</si>
  <si>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</si>
  <si>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</si>
  <si>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</si>
  <si>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</si>
  <si>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</si>
  <si>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</si>
  <si>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</si>
  <si>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</si>
  <si>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</si>
  <si>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</si>
  <si>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</si>
  <si>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</si>
  <si>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</si>
  <si>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</si>
  <si>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</si>
  <si>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</si>
  <si>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</si>
  <si>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</si>
  <si>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</si>
  <si>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</si>
  <si>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</si>
  <si>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</si>
  <si>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</si>
  <si>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</si>
  <si>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</si>
  <si>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</si>
  <si>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</si>
  <si>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</si>
  <si>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</si>
  <si>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</si>
  <si>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</si>
  <si>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</si>
  <si>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</si>
  <si>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</si>
  <si>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</si>
  <si>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</si>
  <si>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</si>
  <si>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</si>
  <si>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</si>
  <si>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</si>
  <si>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</si>
  <si>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</si>
  <si>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</si>
  <si>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</si>
  <si>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</si>
  <si>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</si>
  <si>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</si>
  <si>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</si>
  <si>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</si>
  <si>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</si>
  <si>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</si>
  <si>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</si>
  <si>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</si>
  <si>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</si>
  <si>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</si>
  <si>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</si>
  <si>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</si>
  <si>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</si>
  <si>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</si>
  <si>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</si>
  <si>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</si>
  <si>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</si>
  <si>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</si>
  <si>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</si>
  <si>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</si>
  <si>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</si>
  <si>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</si>
  <si>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</si>
  <si>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</si>
  <si>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</si>
  <si>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</si>
  <si>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</si>
  <si>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</si>
  <si>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</si>
  <si>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</si>
  <si>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</si>
  <si>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</si>
  <si>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</si>
  <si>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</si>
  <si>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</si>
  <si>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</si>
  <si>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</si>
  <si>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</si>
  <si>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</si>
  <si>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</si>
  <si>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</si>
  <si>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</si>
  <si>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</si>
  <si>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</si>
  <si>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</si>
  <si>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</si>
  <si>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</si>
  <si>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</si>
  <si>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</si>
  <si>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</si>
  <si>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</si>
  <si>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</si>
  <si>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</si>
  <si>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</si>
  <si>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</si>
  <si>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</si>
  <si>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</si>
  <si>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</si>
  <si>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</si>
  <si>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</si>
  <si>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</si>
  <si>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</si>
  <si>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</si>
  <si>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</si>
  <si>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</si>
  <si>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</si>
  <si>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</si>
  <si>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</si>
  <si>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</si>
  <si>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</si>
  <si>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</si>
  <si>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</si>
  <si>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</si>
  <si>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</si>
  <si>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</si>
  <si>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</si>
  <si>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</si>
  <si>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</si>
  <si>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</si>
  <si>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</si>
  <si>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</si>
  <si>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</si>
  <si>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</si>
  <si>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</si>
  <si>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</si>
  <si>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</si>
  <si>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</si>
  <si>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</si>
  <si>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</si>
  <si>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</si>
  <si>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</si>
  <si>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</si>
  <si>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</si>
  <si>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</si>
  <si>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</si>
  <si>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</si>
  <si>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</si>
  <si>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</si>
  <si>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</si>
  <si>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</si>
  <si>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</si>
  <si>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</si>
  <si>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</si>
  <si>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</si>
  <si>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</si>
  <si>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</si>
  <si>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</si>
  <si>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</si>
  <si>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</si>
  <si>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</si>
  <si>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</si>
  <si>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</si>
  <si>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</si>
  <si>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</si>
  <si>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</si>
  <si>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</si>
  <si>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</si>
  <si>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</si>
  <si>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</si>
  <si>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</si>
  <si>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</si>
  <si>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</si>
  <si>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</si>
  <si>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</si>
  <si>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</si>
  <si>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</si>
  <si>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</si>
  <si>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</si>
  <si>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</si>
  <si>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</si>
  <si>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</si>
  <si>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</si>
  <si>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</si>
  <si>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</si>
  <si>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</si>
  <si>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</si>
  <si>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</si>
  <si>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</si>
  <si>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</si>
  <si>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</si>
  <si>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</si>
  <si>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</si>
  <si>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</si>
  <si>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</si>
  <si>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</si>
  <si>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</si>
  <si>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</si>
  <si>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</si>
  <si>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</si>
  <si>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</si>
  <si>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</si>
  <si>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</si>
  <si>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</si>
  <si>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</si>
  <si>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</si>
  <si>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</si>
  <si>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</si>
  <si>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</si>
  <si>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</si>
  <si>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</si>
  <si>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</si>
  <si>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</si>
  <si>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</si>
  <si>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</si>
  <si>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</si>
  <si>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</si>
  <si>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</si>
  <si>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</si>
  <si>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</si>
  <si>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</si>
  <si>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</si>
  <si>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</si>
  <si>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</si>
  <si>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</si>
  <si>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</si>
  <si>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</si>
  <si>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</si>
  <si>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</si>
  <si>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</si>
  <si>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</si>
  <si>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</si>
  <si>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</si>
  <si>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</si>
  <si>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</si>
  <si>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</si>
  <si>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</si>
  <si>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</si>
  <si>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</si>
  <si>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</si>
  <si>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</si>
  <si>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</si>
  <si>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</si>
  <si>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</si>
  <si>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</si>
  <si>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</si>
  <si>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</si>
  <si>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</si>
  <si>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</si>
  <si>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</si>
  <si>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</si>
  <si>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</si>
  <si>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</si>
  <si>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</si>
  <si>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</si>
  <si>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</si>
  <si>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</si>
  <si>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</si>
  <si>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</si>
  <si>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</si>
  <si>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</si>
  <si>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</si>
  <si>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</si>
  <si>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</si>
  <si>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</si>
  <si>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</si>
  <si>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</si>
  <si>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</si>
  <si>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</si>
  <si>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</si>
  <si>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</si>
  <si>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</si>
  <si>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</si>
  <si>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</si>
  <si>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</si>
  <si>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</si>
  <si>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</si>
  <si>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</si>
  <si>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</si>
  <si>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</si>
  <si>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</si>
  <si>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</si>
  <si>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</si>
  <si>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</si>
  <si>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</si>
  <si>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</si>
  <si>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</si>
  <si>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</si>
  <si>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</si>
  <si>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</si>
  <si>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</si>
  <si>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</si>
  <si>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</si>
  <si>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</si>
  <si>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</si>
  <si>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</si>
  <si>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</si>
  <si>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</si>
  <si>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</si>
  <si>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</si>
  <si>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</si>
  <si>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</si>
  <si>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</si>
  <si>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</si>
  <si>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</si>
  <si>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</si>
  <si>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</si>
  <si>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</si>
  <si>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</si>
  <si>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</si>
  <si>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</si>
  <si>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</si>
  <si>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</si>
  <si>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</si>
  <si>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</si>
  <si>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</si>
  <si>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</si>
  <si>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</si>
  <si>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</si>
  <si>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</si>
  <si>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</si>
  <si>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</si>
  <si>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</si>
  <si>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</si>
  <si>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</si>
  <si>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</si>
  <si>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</si>
  <si>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</si>
  <si>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</si>
  <si>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</si>
  <si>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</si>
  <si>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</si>
  <si>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</si>
  <si>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</si>
  <si>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</si>
  <si>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</si>
  <si>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</si>
  <si>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</si>
  <si>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</si>
  <si>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</si>
  <si>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</si>
  <si>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</si>
  <si>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</si>
  <si>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</si>
  <si>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</si>
  <si>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</si>
  <si>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</si>
  <si>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</si>
  <si>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</si>
  <si>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</si>
  <si>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</si>
  <si>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</si>
  <si>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</si>
  <si>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</si>
  <si>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</si>
  <si>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</si>
  <si>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</si>
  <si>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</si>
  <si>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</si>
  <si>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</si>
  <si>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</si>
  <si>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</si>
  <si>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</si>
  <si>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</si>
  <si>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</si>
  <si>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</si>
  <si>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</si>
  <si>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</si>
  <si>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</si>
  <si>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</si>
  <si>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</si>
  <si>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</si>
  <si>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</si>
  <si>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</si>
  <si>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</si>
  <si>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</si>
  <si>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</si>
  <si>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</si>
  <si>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</si>
  <si>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</si>
  <si>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</si>
  <si>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</si>
  <si>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</si>
  <si>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</si>
  <si>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</si>
  <si>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</si>
  <si>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</si>
  <si>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</si>
  <si>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</si>
  <si>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</si>
  <si>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</si>
  <si>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</si>
  <si>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</si>
  <si>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</si>
  <si>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</si>
  <si>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</si>
  <si>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</si>
  <si>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</si>
  <si>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</si>
  <si>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</si>
  <si>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</si>
  <si>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</si>
  <si>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</si>
  <si>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</si>
  <si>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</si>
  <si>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</si>
  <si>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</si>
  <si>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</si>
  <si>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</si>
  <si>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</si>
  <si>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</si>
  <si>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</si>
  <si>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</si>
  <si>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</si>
  <si>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</si>
  <si>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</si>
  <si>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</si>
  <si>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</si>
  <si>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</si>
  <si>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</si>
  <si>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</si>
  <si>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</si>
  <si>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</si>
  <si>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</si>
  <si>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</si>
  <si>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</si>
  <si>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</si>
  <si>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</si>
  <si>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</si>
  <si>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</si>
  <si>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</si>
  <si>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</si>
  <si>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</si>
  <si>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</si>
  <si>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</si>
  <si>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</si>
  <si>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</si>
  <si>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</si>
  <si>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</si>
  <si>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</si>
  <si>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</si>
  <si>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</si>
  <si>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</si>
  <si>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</si>
  <si>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</si>
  <si>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</si>
  <si>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</si>
  <si>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</si>
  <si>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</si>
  <si>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</si>
  <si>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</si>
  <si>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</si>
  <si>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</si>
  <si>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</si>
  <si>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</si>
  <si>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</si>
  <si>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</si>
  <si>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</si>
  <si>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</si>
  <si>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</si>
  <si>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</si>
  <si>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</si>
  <si>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</si>
  <si>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</si>
  <si>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</si>
  <si>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</si>
  <si>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</si>
  <si>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</si>
  <si>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</si>
  <si>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</si>
  <si>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</si>
  <si>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</si>
  <si>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</si>
  <si>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</si>
  <si>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</si>
  <si>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</si>
  <si>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</si>
  <si>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</si>
  <si>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</si>
  <si>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</si>
  <si>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</si>
  <si>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</si>
  <si>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</si>
  <si>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</si>
  <si>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</si>
  <si>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</si>
  <si>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</si>
  <si>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</si>
  <si>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</si>
  <si>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</si>
  <si>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</si>
  <si>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</si>
  <si>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</si>
  <si>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</si>
  <si>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</si>
  <si>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</si>
  <si>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</si>
  <si>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</si>
  <si>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</si>
  <si>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</si>
  <si>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</si>
  <si>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</si>
  <si>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</si>
  <si>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</si>
  <si>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</si>
  <si>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</si>
  <si>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</si>
  <si>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</si>
  <si>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</si>
  <si>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</si>
  <si>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</si>
  <si>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</si>
  <si>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</si>
  <si>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</si>
  <si>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</si>
  <si>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</si>
  <si>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</si>
  <si>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</si>
  <si>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</si>
  <si>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</si>
  <si>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</si>
  <si>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</si>
  <si>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</si>
  <si>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</si>
  <si>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</si>
  <si>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</si>
  <si>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</si>
  <si>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</si>
  <si>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</si>
  <si>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</si>
  <si>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</si>
  <si>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</si>
  <si>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</si>
  <si>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</si>
  <si>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</si>
  <si>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</si>
  <si>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</si>
  <si>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</si>
  <si>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</si>
  <si>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</si>
  <si>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</si>
  <si>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</si>
  <si>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</si>
  <si>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</si>
  <si>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</si>
  <si>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</si>
  <si>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</si>
  <si>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</si>
  <si>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</si>
  <si>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</si>
  <si>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</si>
  <si>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</si>
  <si>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</si>
  <si>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</si>
  <si>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</si>
  <si>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</si>
  <si>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</si>
  <si>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</si>
  <si>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</si>
  <si>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</si>
  <si>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</si>
  <si>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</si>
  <si>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</si>
  <si>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</si>
  <si>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</si>
  <si>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</si>
  <si>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</si>
  <si>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</si>
  <si>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</si>
  <si>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</si>
  <si>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</si>
  <si>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</si>
  <si>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</si>
  <si>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</si>
  <si>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</si>
  <si>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</si>
  <si>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</si>
  <si>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</si>
  <si>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</si>
  <si>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</si>
  <si>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</si>
  <si>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</si>
  <si>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</si>
  <si>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</si>
  <si>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</si>
  <si>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</si>
  <si>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</si>
  <si>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</si>
  <si>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</si>
  <si>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</si>
  <si>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</si>
  <si>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</si>
  <si>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</si>
  <si>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</si>
  <si>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</si>
  <si>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</si>
  <si>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</si>
  <si>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</si>
  <si>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</si>
  <si>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</si>
  <si>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</si>
  <si>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</si>
  <si>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</si>
  <si>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</si>
  <si>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</si>
  <si>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</si>
  <si>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</si>
  <si>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</si>
  <si>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</si>
  <si>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</si>
  <si>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</si>
  <si>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</si>
  <si>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</si>
  <si>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</si>
  <si>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</si>
  <si>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</si>
  <si>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</si>
  <si>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</si>
  <si>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</si>
  <si>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</si>
  <si>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</si>
  <si>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</si>
  <si>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</si>
  <si>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</si>
  <si>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</si>
  <si>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</si>
  <si>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</si>
  <si>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</si>
  <si>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</si>
  <si>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</si>
  <si>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</si>
  <si>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</si>
  <si>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</si>
  <si>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</si>
  <si>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</si>
  <si>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</si>
  <si>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</si>
  <si>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</si>
  <si>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</si>
  <si>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</si>
  <si>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</si>
  <si>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</si>
  <si>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</si>
  <si>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</si>
  <si>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</si>
  <si>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</si>
  <si>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</si>
  <si>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</si>
  <si>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</si>
  <si>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</si>
  <si>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</si>
  <si>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</si>
  <si>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</si>
  <si>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</si>
  <si>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</si>
  <si>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</si>
  <si>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</si>
  <si>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</si>
  <si>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</si>
  <si>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</si>
  <si>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</si>
  <si>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</si>
  <si>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</si>
  <si>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</si>
  <si>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</si>
  <si>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</si>
  <si>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</si>
  <si>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</si>
  <si>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</si>
  <si>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</si>
  <si>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</si>
  <si>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</si>
  <si>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</si>
  <si>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</si>
  <si>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</si>
  <si>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</si>
  <si>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</si>
  <si>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</si>
  <si>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</si>
  <si>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</si>
  <si>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</si>
  <si>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</si>
  <si>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</si>
  <si>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</si>
  <si>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</si>
  <si>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</si>
  <si>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</si>
  <si>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</si>
  <si>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</si>
  <si>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</si>
  <si>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</si>
  <si>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</si>
  <si>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</si>
  <si>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</si>
  <si>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</si>
  <si>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</si>
  <si>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</si>
  <si>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</si>
  <si>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</si>
  <si>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</si>
  <si>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</si>
  <si>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</si>
  <si>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</si>
  <si>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</si>
  <si>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</si>
  <si>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</si>
  <si>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</si>
  <si>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</si>
  <si>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</si>
  <si>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</si>
  <si>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</si>
  <si>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</si>
  <si>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</si>
  <si>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</si>
  <si>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</si>
  <si>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</si>
  <si>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</si>
  <si>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</si>
  <si>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</si>
  <si>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</si>
  <si>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</si>
  <si>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</si>
  <si>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</si>
  <si>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</si>
  <si>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</si>
  <si>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</si>
  <si>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</si>
  <si>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</si>
  <si>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</si>
  <si>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</si>
  <si>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</si>
  <si>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</si>
  <si>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</si>
  <si>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</si>
  <si>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</si>
  <si>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</si>
  <si>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</si>
  <si>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</si>
  <si>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</si>
  <si>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</si>
  <si>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</si>
  <si>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</si>
  <si>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</si>
  <si>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</si>
  <si>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</si>
  <si>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</si>
  <si>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</si>
  <si>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</si>
  <si>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</si>
  <si>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</si>
  <si>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</si>
  <si>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</si>
  <si>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</si>
  <si>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</si>
  <si>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</si>
  <si>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</si>
  <si>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</si>
  <si>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</si>
  <si>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</si>
  <si>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</si>
  <si>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</si>
  <si>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</si>
  <si>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</si>
  <si>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</si>
  <si>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</si>
  <si>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</si>
  <si>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</si>
  <si>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</si>
  <si>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</si>
  <si>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</si>
  <si>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</si>
  <si>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</si>
  <si>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</si>
  <si>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</si>
  <si>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</si>
  <si>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</si>
  <si>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</si>
  <si>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</si>
  <si>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</si>
  <si>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</si>
  <si>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</si>
  <si>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</si>
  <si>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</si>
  <si>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</si>
  <si>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</si>
  <si>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</si>
  <si>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</si>
  <si>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</si>
  <si>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</si>
  <si>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</si>
  <si>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</si>
  <si>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</si>
  <si>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</si>
  <si>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</si>
  <si>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</si>
  <si>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</si>
  <si>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</si>
  <si>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</si>
  <si>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</si>
  <si>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Огнян Донев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</si>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</sst>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52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3" fontId="3" fillId="0" borderId="0" xfId="9" applyNumberFormat="1" applyFont="1" applyAlignment="1" applyProtection="1"/>
    <xf numFmtId="3" fontId="39" fillId="4" borderId="13" xfId="10" applyNumberFormat="1" applyFont="1" applyFill="1" applyBorder="1" applyAlignment="1" applyProtection="1">
      <alignment vertical="top"/>
      <protection locked="0"/>
    </xf>
    <xf numFmtId="3" fontId="3" fillId="4" borderId="13" xfId="0" applyNumberFormat="1" applyFont="1" applyFill="1" applyBorder="1" applyAlignment="1" applyProtection="1">
      <alignment vertical="top"/>
      <protection locked="0"/>
    </xf>
    <xf numFmtId="3" fontId="39" fillId="4" borderId="13" xfId="0" applyNumberFormat="1" applyFont="1" applyFill="1" applyBorder="1" applyAlignment="1" applyProtection="1">
      <alignment vertical="top"/>
      <protection locked="0"/>
    </xf>
    <xf numFmtId="3" fontId="39" fillId="4" borderId="22" xfId="10" applyNumberFormat="1" applyFont="1" applyFill="1" applyBorder="1" applyAlignment="1" applyProtection="1">
      <alignment vertical="top"/>
      <protection locked="0"/>
    </xf>
    <xf numFmtId="3" fontId="39" fillId="4" borderId="20" xfId="10" applyNumberFormat="1" applyFont="1" applyFill="1" applyBorder="1" applyAlignment="1" applyProtection="1">
      <alignment vertical="top"/>
      <protection locked="0"/>
    </xf>
    <xf numFmtId="0" fontId="2" fillId="12" borderId="5" xfId="8" applyFont="1" applyFill="1" applyBorder="1" applyAlignment="1" applyProtection="1">
      <alignment horizontal="left" vertical="center"/>
    </xf>
    <xf numFmtId="3" fontId="3" fillId="0" borderId="27" xfId="8" applyNumberFormat="1" applyFont="1" applyFill="1" applyBorder="1" applyAlignment="1" applyProtection="1">
      <alignment horizontal="right" vertical="center" wrapText="1"/>
    </xf>
    <xf numFmtId="3" fontId="3" fillId="0" borderId="28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horizontal="left" vertical="center"/>
      <protection locked="0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</cellXfs>
  <cellStyles count="28">
    <cellStyle name="Currency 2" xfId="1" xr:uid="{00000000-0005-0000-0000-000000000000}"/>
    <cellStyle name="Currency 2 2" xfId="21" xr:uid="{00000000-0005-0000-0000-000001000000}"/>
    <cellStyle name="Currency 2 3" xfId="20" xr:uid="{00000000-0005-0000-0000-000002000000}"/>
    <cellStyle name="Currency 3" xfId="17" xr:uid="{00000000-0005-0000-0000-000003000000}"/>
    <cellStyle name="Euro" xfId="2" xr:uid="{00000000-0005-0000-0000-000004000000}"/>
    <cellStyle name="Euro 2" xfId="18" xr:uid="{00000000-0005-0000-0000-000005000000}"/>
    <cellStyle name="Euro 2 2" xfId="22" xr:uid="{00000000-0005-0000-0000-000006000000}"/>
    <cellStyle name="Hyperlink" xfId="3" builtinId="8"/>
    <cellStyle name="Normal" xfId="0" builtinId="0"/>
    <cellStyle name="Normal 16" xfId="4" xr:uid="{00000000-0005-0000-0000-000009000000}"/>
    <cellStyle name="Normal 16 2" xfId="24" xr:uid="{00000000-0005-0000-0000-00000A000000}"/>
    <cellStyle name="Normal 16 3" xfId="23" xr:uid="{00000000-0005-0000-0000-00000B000000}"/>
    <cellStyle name="Normal 2" xfId="5" xr:uid="{00000000-0005-0000-0000-00000C000000}"/>
    <cellStyle name="Normal 2 2" xfId="26" xr:uid="{00000000-0005-0000-0000-00000D000000}"/>
    <cellStyle name="Normal 2 3" xfId="25" xr:uid="{00000000-0005-0000-0000-00000E000000}"/>
    <cellStyle name="Normal 3" xfId="16" xr:uid="{00000000-0005-0000-0000-00000F000000}"/>
    <cellStyle name="Normal_El. 7.3" xfId="6" xr:uid="{00000000-0005-0000-0000-000010000000}"/>
    <cellStyle name="Normal_El. 7.4" xfId="7" xr:uid="{00000000-0005-0000-0000-000011000000}"/>
    <cellStyle name="Normal_El.7.2" xfId="8" xr:uid="{00000000-0005-0000-0000-000012000000}"/>
    <cellStyle name="Normal_Spravki_kod" xfId="9" xr:uid="{00000000-0005-0000-0000-000013000000}"/>
    <cellStyle name="Normal_Баланс" xfId="10" xr:uid="{00000000-0005-0000-0000-000014000000}"/>
    <cellStyle name="Normal_Баланс 2" xfId="19" xr:uid="{00000000-0005-0000-0000-000015000000}"/>
    <cellStyle name="Normal_Баланс 3" xfId="27" xr:uid="{00000000-0005-0000-0000-000016000000}"/>
    <cellStyle name="Normal_Отч.парич.поток" xfId="11" xr:uid="{00000000-0005-0000-0000-000017000000}"/>
    <cellStyle name="Normal_Отч.прих-разх" xfId="12" xr:uid="{00000000-0005-0000-0000-000018000000}"/>
    <cellStyle name="Normal_Отч.собств.кап." xfId="13" xr:uid="{00000000-0005-0000-0000-000019000000}"/>
    <cellStyle name="Normal_Финансов отчет" xfId="14" xr:uid="{00000000-0005-0000-0000-00001A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8" Type="http://schemas.openxmlformats.org/officeDocument/2006/relationships/revisionLog" Target="revisionLog8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F215F3F-17B9-45AF-B3DD-01EF58BAB4C3}" diskRevisions="1" revisionId="367" version="3">
  <header guid="{BF75A641-6645-4725-991C-A0DECE7449FF}" dateTime="2021-11-22T10:49:38" maxSheetId="16" userName="Vladimir Papazov" r:id="rId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7C1AA72-DEBB-4626-88EE-01B10F108D7C}" dateTime="2021-11-22T10:58:23" maxSheetId="16" userName="Vladimir Papazov" r:id="rId2" minRId="1" maxRId="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935F17C-DC4C-4568-9CB4-84D8505067CC}" dateTime="2021-11-22T11:33:40" maxSheetId="16" userName="Vladimir Papazov" r:id="rId3" minRId="7" maxRId="3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BFE2AFD-D17E-4B88-B592-E4B9CD328B00}" dateTime="2021-11-22T12:03:58" maxSheetId="16" userName="Vladimir Papazov" r:id="rId4" minRId="33" maxRId="6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5574F5B-B422-45C8-9FB8-B298E26FBC8F}" dateTime="2021-11-22T17:10:45" maxSheetId="16" userName="Vladimir Papazov" r:id="rId5" minRId="62" maxRId="7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DB8CDFB-372B-462A-8332-20289F8DA169}" dateTime="2021-11-23T10:13:36" maxSheetId="16" userName="Vladimir Papazov" r:id="rId6" minRId="7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7CAD4C2-3772-4C6E-83E0-0D3E07B37D8A}" dateTime="2021-11-23T10:26:20" maxSheetId="16" userName="Vladimir Papazov" r:id="rId7" minRId="74" maxRId="7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C798785-52EE-420F-A0A5-456E810D5415}" dateTime="2021-11-23T11:06:15" maxSheetId="16" userName="Vladimir Papazov" r:id="rId8" minRId="88" maxRId="11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F9CE807-7FD7-43C7-98B1-8392C8261220}" dateTime="2021-11-23T11:41:19" maxSheetId="16" userName="Antoaneta Ivanova Todorova" r:id="rId9" minRId="122" maxRId="12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DAB78E3-6055-4B6F-9A35-23F293C12742}" dateTime="2021-11-23T11:44:56" maxSheetId="16" userName="Antoaneta Ivanova Todorova" r:id="rId10" minRId="140" maxRId="14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F484BA8-7FAC-4DE3-B5DC-12630E8B27A1}" dateTime="2021-11-23T11:45:50" maxSheetId="16" userName="Antoaneta Ivanova Todorova" r:id="rId11" minRId="14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AFCFFE3-9A28-453F-A635-9DF4BE7795DD}" dateTime="2021-11-23T11:46:38" maxSheetId="16" userName="Antoaneta Ivanova Todorova" r:id="rId12" minRId="14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1D09619-1E73-4339-8526-869F92870977}" dateTime="2021-11-23T11:48:02" maxSheetId="16" userName="Antoaneta Ivanova Todorova" r:id="rId13" minRId="14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37BE2CA-EFE8-420C-9D1C-9069060A4E1B}" dateTime="2021-11-23T11:49:33" maxSheetId="16" userName="Antoaneta Ivanova Todorova" r:id="rId14" minRId="150" maxRId="15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3F8B162-9F63-4FDE-A561-73E6BE39DA5D}" dateTime="2021-11-23T11:49:45" maxSheetId="16" userName="Antoaneta Ivanova Todorova" r:id="rId15" minRId="15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2C662EF-D805-416E-B20A-92A39CAA4FB0}" dateTime="2021-11-23T11:50:53" maxSheetId="16" userName="Antoaneta Ivanova Todorova" r:id="rId16" minRId="15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EF92D4F-D282-4F9E-81ED-81E1976831A1}" dateTime="2021-11-23T11:57:18" maxSheetId="16" userName="Antoaneta Ivanova Todorova" r:id="rId17" minRId="156" maxRId="15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E1FA2F6-7104-4D19-9663-2811AEEABEB5}" dateTime="2021-11-23T11:58:42" maxSheetId="16" userName="Antoaneta Ivanova Todorova" r:id="rId18" minRId="15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C929F11-EFF1-4813-904D-A5A5EE91A3BA}" dateTime="2021-11-23T12:03:14" maxSheetId="16" userName="Antoaneta Ivanova Todorova" r:id="rId19" minRId="160" maxRId="16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4B2459E-AA34-4DFD-984C-0FC8A7877378}" dateTime="2021-11-23T12:03:28" maxSheetId="16" userName="Antoaneta Ivanova Todorova" r:id="rId20" minRId="17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3FB9454-C10A-4911-8BCF-9B0EA8A6FC31}" dateTime="2021-11-23T12:05:49" maxSheetId="16" userName="Antoaneta Ivanova Todorova" r:id="rId21" minRId="174" maxRId="17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951CCBD-C729-492C-96DE-1E688F3D2AF5}" dateTime="2021-11-23T12:06:36" maxSheetId="16" userName="Antoaneta Ivanova Todorova" r:id="rId22" minRId="180" maxRId="18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B2F4569-5B00-4D22-9885-95C306A94B71}" dateTime="2021-11-23T12:08:09" maxSheetId="16" userName="Antoaneta Ivanova Todorova" r:id="rId23" minRId="183" maxRId="18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A8AD551-F9E3-4589-A76D-354C1F70F2C9}" dateTime="2021-11-23T12:12:04" maxSheetId="16" userName="Antoaneta Ivanova Todorova" r:id="rId24" minRId="187" maxRId="19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7D61CBF-CB17-4DE2-A63B-2D2CB48FD755}" dateTime="2021-11-23T12:18:38" maxSheetId="16" userName="Antoaneta Ivanova Todorova" r:id="rId2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73B7E92-F035-44A9-A5F6-5F7BFCB4F5D6}" dateTime="2021-11-23T12:19:09" maxSheetId="16" userName="Antoaneta Ivanova Todorova" r:id="rId26" minRId="20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885796E-291A-4A60-96A2-4C61A152FBB1}" dateTime="2021-11-23T12:24:22" maxSheetId="16" userName="Antoaneta Ivanova Todorova" r:id="rId27" minRId="210" maxRId="21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AE293B2-DA18-4337-9049-3B6D17FF9550}" dateTime="2021-11-23T12:26:43" maxSheetId="16" userName="Antoaneta Ivanova Todorova" r:id="rId28" minRId="214" maxRId="21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B3AC95C-4C84-4590-B25E-33680A5640C0}" dateTime="2021-11-23T14:21:09" maxSheetId="16" userName="Antoaneta Ivanova Todorova" r:id="rId29" minRId="216" maxRId="22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D4BC625-1922-48AF-802B-59422F6BF8FA}" dateTime="2021-11-23T14:30:53" maxSheetId="16" userName="Vladimir Papazov" r:id="rId30" minRId="222" maxRId="23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7DE5D34-B75E-4ACE-8F2E-6A36A5D47F04}" dateTime="2021-11-24T12:56:41" maxSheetId="16" userName="Vladimir Papazov" r:id="rId31" minRId="247" maxRId="24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896BD52-DCDA-4FCB-BAD5-6120BF016578}" dateTime="2021-11-24T12:58:03" maxSheetId="16" userName="Vladimir Papazov" r:id="rId32" minRId="260" maxRId="26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A97F45D-0BF6-4F11-88B4-9210C26F0BE4}" dateTime="2021-11-24T13:47:14" maxSheetId="16" userName="Lyudmila Bondzhova" r:id="rId33" minRId="264" maxRId="26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12178E0-EF31-40D0-9CFB-D777C804E489}" dateTime="2021-11-25T09:35:56" maxSheetId="16" userName="Vladimir Papazov" r:id="rId34" minRId="276" maxRId="28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7403B36-2238-4B68-A197-3C91EC7F9C64}" dateTime="2021-11-25T14:02:19" maxSheetId="16" userName="Vladimir Papazov" r:id="rId35" minRId="292" maxRId="29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7EEDDCB-6B0B-47FF-ABC0-0EFB01552901}" dateTime="2021-11-25T14:04:14" maxSheetId="16" userName="Vladimir Papazov" r:id="rId36" minRId="30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C2AD939-531C-4285-A282-DF82521C7688}" dateTime="2021-11-25T14:11:00" maxSheetId="16" userName="Vladimir Papazov" r:id="rId37" minRId="306" maxRId="30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E84CA7B-B20B-4315-BB9E-00BBE254CBBE}" dateTime="2021-11-25T16:49:27" maxSheetId="16" userName="Vladimir Papazov" r:id="rId3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51A3489-0832-4E75-8A0A-C2EC5C085762}" dateTime="2021-11-25T16:56:44" maxSheetId="16" userName="Vladimir Papazov" r:id="rId39" minRId="319" maxRId="35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F215F3F-17B9-45AF-B3DD-01EF58BAB4C3}" dateTime="2021-11-26T15:28:34" maxSheetId="16" userName="Investor Relations" r:id="rId4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" sId="4" numFmtId="4">
    <oc r="C24">
      <f>193+675</f>
    </oc>
    <nc r="C24">
      <v>1559</v>
    </nc>
  </rcc>
  <rcc rId="141" sId="4" numFmtId="4">
    <oc r="C23">
      <f>-11007-2214</f>
    </oc>
    <nc r="C23">
      <v>-19172</v>
    </nc>
  </rcc>
  <rcc rId="142" sId="4" numFmtId="4">
    <oc r="C25">
      <f>-2660-186</f>
    </oc>
    <nc r="C25">
      <v>-4567</v>
    </nc>
  </rcc>
  <rcc rId="143" sId="4" numFmtId="4">
    <oc r="C26">
      <f>1500+28</f>
    </oc>
    <nc r="C26">
      <v>12801</v>
    </nc>
  </rcc>
  <rcc rId="144" sId="4" numFmtId="4">
    <oc r="C27">
      <v>121</v>
    </oc>
    <nc r="C27">
      <v>2411</v>
    </nc>
  </rcc>
  <rcc rId="145" sId="4" numFmtId="4">
    <nc r="C32">
      <v>21</v>
    </nc>
  </rcc>
  <rcc rId="146" sId="4" numFmtId="4">
    <oc r="C30">
      <v>183</v>
    </oc>
    <nc r="C30">
      <v>451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" sId="4" numFmtId="4">
    <oc r="C28">
      <f>-2004-52-277</f>
    </oc>
    <nc r="C28">
      <v>-5498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" sId="4" numFmtId="4">
    <oc r="C29">
      <f>30+455+196</f>
    </oc>
    <nc r="C29">
      <v>2675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" sId="4" numFmtId="4">
    <oc r="C36">
      <v>0</v>
    </oc>
    <nc r="C36">
      <v>-4079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" sId="4" numFmtId="4">
    <oc r="C37">
      <f>191+12939+87</f>
    </oc>
    <nc r="C37">
      <v>15051</v>
    </nc>
  </rcc>
  <rcc rId="151" sId="4" numFmtId="4">
    <oc r="C38">
      <f>-40344-12553-83</f>
    </oc>
    <nc r="C38">
      <v>-85643</v>
    </nc>
  </rcc>
  <rcc rId="152" sId="4" numFmtId="4">
    <oc r="C39">
      <v>-10608</v>
    </oc>
    <nc r="C39">
      <v>-15957</v>
    </nc>
  </rcc>
  <rcc rId="153" sId="4" numFmtId="4">
    <oc r="C40">
      <v>-1308</v>
    </oc>
    <nc r="C40">
      <v>-1706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" sId="4" numFmtId="4">
    <oc r="C41">
      <v>-12</v>
    </oc>
    <nc r="C41">
      <v>-32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" sId="4" numFmtId="4">
    <oc r="C42">
      <f>61+109479-292</f>
    </oc>
    <nc r="C42">
      <v>169173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4" numFmtId="4">
    <oc r="D47">
      <v>20950</v>
    </oc>
    <nc r="D47">
      <v>21811</v>
    </nc>
  </rcc>
  <rcc rId="157" sId="4" numFmtId="4">
    <oc r="C47">
      <v>20516</v>
    </oc>
    <nc r="C47">
      <v>22186</v>
    </nc>
  </rcc>
  <rcc rId="158" sId="4" numFmtId="4">
    <oc r="C48">
      <v>152</v>
    </oc>
    <nc r="C48">
      <v>6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" sId="4" numFmtId="4">
    <oc r="D48">
      <v>154</v>
    </oc>
    <nc r="D48">
      <v>155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" sId="6" numFmtId="4">
    <oc r="E11">
      <f>25+1282</f>
    </oc>
    <nc r="E11">
      <v>1322</v>
    </nc>
  </rcc>
  <rcc rId="161" sId="6" numFmtId="4">
    <oc r="F11">
      <f>2301+27</f>
    </oc>
    <nc r="F11">
      <v>2357</v>
    </nc>
  </rcc>
  <rcc rId="162" sId="6" numFmtId="4">
    <oc r="E12">
      <f>5283+328+1112</f>
    </oc>
    <nc r="E12">
      <v>11129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2" customView="1" name="Z_17A0B690_90B4_478F_B629_540D801E18FD_.wvu.PrintArea" hidden="1" oldHidden="1">
    <formula>Контроли!$A$1:$G$15</formula>
    <oldFormula>Контроли!$A$1:$G$15</oldFormula>
  </rdn>
  <rdn rId="0" localSheetId="13" customView="1" name="Z_17A0B690_90B4_478F_B629_540D801E18FD_.wvu.PrintArea" hidden="1" oldHidden="1">
    <formula>Показатели!$A$1:$D$24</formula>
    <oldFormula>Показатели!$A$1:$D$24</oldFormula>
  </rdn>
  <rdn rId="0" localSheetId="14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5" numFmtId="4">
    <oc r="E27">
      <v>218</v>
    </oc>
    <nc r="E27">
      <v>365</v>
    </nc>
  </rcc>
  <rcc rId="2" sId="5" numFmtId="4">
    <oc r="E28">
      <f>296</f>
    </oc>
    <nc r="E28">
      <v>730</v>
    </nc>
  </rcc>
  <rcc rId="3" sId="5">
    <oc r="I30">
      <f>-254+752</f>
    </oc>
    <nc r="I30">
      <f>-267+2017</f>
    </nc>
  </rcc>
  <rcc rId="4" sId="5">
    <oc r="E30">
      <f>-753+1-687-4</f>
    </oc>
    <nc r="E30">
      <f>-755-1262+1959+(365+66)</f>
    </nc>
  </rcc>
  <rcc rId="5" sId="5">
    <oc r="M30">
      <f>-1891-294-4</f>
    </oc>
    <nc r="M30">
      <f>-1892-490+4</f>
    </nc>
  </rcc>
  <rcc rId="6" sId="5" numFmtId="4">
    <oc r="M18">
      <v>1664</v>
    </oc>
    <nc r="M18">
      <v>2969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" sId="6" numFmtId="4">
    <oc r="I12">
      <v>54</v>
    </oc>
    <nc r="I12">
      <v>2103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" sId="6" numFmtId="4">
    <oc r="F12">
      <f>1863+2147+63</f>
    </oc>
    <nc r="F12">
      <v>9243</v>
    </nc>
  </rcc>
  <rcc rId="175" sId="6" numFmtId="4">
    <oc r="E13">
      <f>851+119+2238</f>
    </oc>
    <nc r="E13">
      <v>14450</v>
    </nc>
  </rcc>
  <rcc rId="176" sId="6" numFmtId="4">
    <oc r="F13">
      <f>1951+7540</f>
    </oc>
    <nc r="F13">
      <v>14186</v>
    </nc>
  </rcc>
  <rcc rId="177" sId="6" numFmtId="4">
    <oc r="E14">
      <f>192+1+149</f>
    </oc>
    <nc r="E14">
      <v>419</v>
    </nc>
  </rcc>
  <rcc rId="178" sId="6" numFmtId="4">
    <oc r="F14">
      <v>16</v>
    </oc>
    <nc r="F14">
      <v>20</v>
    </nc>
  </rcc>
  <rcc rId="179" sId="6" numFmtId="4">
    <oc r="E15">
      <f>1748+37+4</f>
    </oc>
    <nc r="E15">
      <v>3067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" sId="6" numFmtId="4">
    <oc r="F15">
      <f>1911+526</f>
    </oc>
    <nc r="F15">
      <v>5255</v>
    </nc>
  </rcc>
  <rcc rId="181" sId="6" numFmtId="4">
    <oc r="E16">
      <f>1077+16+75</f>
    </oc>
    <nc r="E16">
      <v>2951</v>
    </nc>
  </rcc>
  <rcc rId="182" sId="6" numFmtId="4">
    <oc r="F16">
      <f>506+43</f>
    </oc>
    <nc r="F16">
      <v>1138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" sId="6" numFmtId="4">
    <oc r="E17">
      <f>10194+144</f>
    </oc>
    <nc r="E17">
      <v>13322</v>
    </nc>
  </rcc>
  <rcc rId="184" sId="6" numFmtId="4">
    <oc r="F17">
      <f>52+1074+4860</f>
    </oc>
    <nc r="F17">
      <v>16470</v>
    </nc>
  </rcc>
  <rcc rId="185" sId="6" numFmtId="4">
    <oc r="L11">
      <v>4</v>
    </oc>
    <nc r="L11">
      <v>5</v>
    </nc>
  </rcc>
  <rcc rId="186" sId="6" numFmtId="4">
    <nc r="M11">
      <v>10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" sId="6" numFmtId="4">
    <oc r="L12">
      <f>11610</f>
    </oc>
    <nc r="L12">
      <v>18110</v>
    </nc>
  </rcc>
  <rcc rId="188" sId="6" numFmtId="4">
    <oc r="M12">
      <f>183+639+10+631</f>
    </oc>
    <nc r="M12">
      <v>6040</v>
    </nc>
  </rcc>
  <rcc rId="189" sId="6" numFmtId="4">
    <oc r="L13">
      <f>6424</f>
    </oc>
    <nc r="L13">
      <v>10072</v>
    </nc>
  </rcc>
  <rcc rId="190" sId="6" numFmtId="4">
    <oc r="M13">
      <f>84+1866+2074</f>
    </oc>
    <nc r="M13">
      <v>8627</v>
    </nc>
  </rcc>
  <rcc rId="191" sId="6" numFmtId="4">
    <oc r="L14">
      <f>845</f>
    </oc>
    <nc r="L14">
      <v>1290</v>
    </nc>
  </rcc>
  <rcc rId="192" sId="6" numFmtId="4">
    <oc r="M14">
      <f>2+16</f>
    </oc>
    <nc r="M14">
      <v>19</v>
    </nc>
  </rcc>
  <rcc rId="193" sId="6" numFmtId="4">
    <oc r="L15">
      <f>1914</f>
    </oc>
    <nc r="L15">
      <v>3029</v>
    </nc>
  </rcc>
  <rcc rId="194" sId="6" numFmtId="4">
    <oc r="M15">
      <f>26+1562+285</f>
    </oc>
    <nc r="M15">
      <v>4723</v>
    </nc>
  </rcc>
  <rcc rId="195" sId="6" numFmtId="4">
    <oc r="L16">
      <f>1369</f>
    </oc>
    <nc r="L16">
      <v>2111</v>
    </nc>
  </rcc>
  <rcc rId="196" sId="6" numFmtId="4">
    <oc r="M16">
      <f>11+477+31</f>
    </oc>
    <nc r="M16">
      <v>1065</v>
    </nc>
  </rcc>
  <rcc rId="197" sId="6" numFmtId="4">
    <oc r="L21">
      <v>14</v>
    </oc>
    <nc r="L21">
      <v>21</v>
    </nc>
  </rcc>
  <rcc rId="198" sId="6" numFmtId="4">
    <oc r="L18">
      <v>25</v>
    </oc>
    <nc r="L18">
      <v>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2" customView="1" name="Z_17A0B690_90B4_478F_B629_540D801E18FD_.wvu.PrintArea" hidden="1" oldHidden="1">
    <formula>Контроли!$A$1:$G$15</formula>
    <oldFormula>Контроли!$A$1:$G$15</oldFormula>
  </rdn>
  <rdn rId="0" localSheetId="13" customView="1" name="Z_17A0B690_90B4_478F_B629_540D801E18FD_.wvu.PrintArea" hidden="1" oldHidden="1">
    <formula>Показатели!$A$1:$D$24</formula>
    <oldFormula>Показатели!$A$1:$D$24</oldFormula>
  </rdn>
  <rdn rId="0" localSheetId="14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" sId="6" numFmtId="4">
    <oc r="F20">
      <v>1254</v>
    </oc>
    <nc r="F20">
      <v>1559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6" numFmtId="4">
    <oc r="E24">
      <f>109+2+121</f>
    </oc>
    <nc r="E24">
      <v>854</v>
    </nc>
  </rcc>
  <rcc rId="211" sId="6" numFmtId="4">
    <oc r="F24">
      <f>7+5</f>
    </oc>
    <nc r="F24">
      <v>95</v>
    </nc>
  </rcc>
  <rcc rId="212" sId="6" numFmtId="4">
    <oc r="L24">
      <f>1341</f>
    </oc>
    <nc r="L24">
      <v>2035</v>
    </nc>
  </rcc>
  <rcc rId="213" sId="6" numFmtId="4">
    <oc r="M24">
      <f>1+2</f>
    </oc>
    <nc r="M24">
      <v>85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6" numFmtId="4">
    <oc r="E26">
      <f>2366+2</f>
    </oc>
    <nc r="E26">
      <v>4016</v>
    </nc>
  </rcc>
  <rcc rId="215" sId="6" numFmtId="4">
    <oc r="F26">
      <f>560+55</f>
    </oc>
    <nc r="F26">
      <v>706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" sId="6" numFmtId="4">
    <oc r="E23">
      <f>16+439</f>
    </oc>
    <nc r="E23">
      <v>487</v>
    </nc>
  </rcc>
  <rcc rId="217" sId="6" numFmtId="4">
    <oc r="F23">
      <f>3+38+2407</f>
    </oc>
    <nc r="F23">
      <v>3820</v>
    </nc>
  </rcc>
  <rcc rId="218" sId="6" numFmtId="4">
    <oc r="L23">
      <f>3417+1</f>
    </oc>
    <nc r="L23">
      <v>5127</v>
    </nc>
  </rcc>
  <rcc rId="219" sId="6" numFmtId="4">
    <oc r="M23">
      <f>38+2406</f>
    </oc>
    <nc r="M23">
      <v>2892</v>
    </nc>
  </rcc>
  <rcc rId="220" sId="6" numFmtId="4">
    <oc r="E26">
      <v>4016</v>
    </oc>
    <nc r="E26">
      <v>4008</v>
    </nc>
  </rcc>
  <rcc rId="221" sId="6" numFmtId="4">
    <oc r="F26">
      <v>706</v>
    </oc>
    <nc r="F26">
      <v>698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7" numFmtId="4">
    <oc r="C14">
      <v>60603</v>
    </oc>
    <nc r="C14">
      <v>51276</v>
    </nc>
  </rcc>
  <rcc rId="8" sId="7" numFmtId="4">
    <oc r="C17">
      <v>7717</v>
    </oc>
    <nc r="C17">
      <v>7770</v>
    </nc>
  </rcc>
  <rcc rId="9" sId="7">
    <oc r="C20">
      <f>3412+860+79</f>
    </oc>
    <nc r="C20">
      <f>3120+847+78</f>
    </nc>
  </rcc>
  <rcc rId="10" sId="7" numFmtId="4">
    <oc r="C27">
      <v>8170</v>
    </oc>
    <nc r="C27">
      <v>8703</v>
    </nc>
  </rcc>
  <rcc rId="11" sId="7" numFmtId="4">
    <oc r="C23">
      <v>169</v>
    </oc>
    <nc r="C23">
      <v>182</v>
    </nc>
  </rcc>
  <rcc rId="12" sId="7">
    <oc r="C28">
      <f>498+21</f>
    </oc>
    <nc r="C28">
      <f>536+21</f>
    </nc>
  </rcc>
  <rcc rId="13" sId="7" numFmtId="4">
    <oc r="C29">
      <v>3</v>
    </oc>
    <nc r="C29">
      <v>14</v>
    </nc>
  </rcc>
  <rcc rId="14" sId="7" numFmtId="4">
    <oc r="C30">
      <v>226297</v>
    </oc>
    <nc r="C30">
      <v>247337</v>
    </nc>
  </rcc>
  <rcc rId="15" sId="7" numFmtId="4">
    <oc r="C31">
      <v>20330</v>
    </oc>
    <nc r="C31">
      <v>26390</v>
    </nc>
  </rcc>
  <rcc rId="16" sId="7" numFmtId="4">
    <oc r="C32">
      <v>4221</v>
    </oc>
    <nc r="C32">
      <v>1507</v>
    </nc>
  </rcc>
  <rcc rId="17" sId="7" numFmtId="4">
    <oc r="C33">
      <v>15580</v>
    </oc>
    <nc r="C33">
      <v>15432</v>
    </nc>
  </rcc>
  <rcc rId="18" sId="7" numFmtId="4">
    <oc r="C36">
      <v>1797</v>
    </oc>
    <nc r="C36">
      <v>1247</v>
    </nc>
  </rcc>
  <rcc rId="19" sId="7" numFmtId="4">
    <oc r="C37">
      <v>11629</v>
    </oc>
    <nc r="C37">
      <v>9780</v>
    </nc>
  </rcc>
  <rcc rId="20" sId="7">
    <oc r="C39">
      <f>6252+9</f>
    </oc>
    <nc r="C39">
      <f>5412+9</f>
    </nc>
  </rcc>
  <rcc rId="21" sId="7" numFmtId="4">
    <oc r="C44">
      <v>3721</v>
    </oc>
    <nc r="C44">
      <v>4453</v>
    </nc>
  </rcc>
  <rcc rId="22" sId="7" numFmtId="4">
    <oc r="D44">
      <v>3721</v>
    </oc>
    <nc r="D44">
      <v>4453</v>
    </nc>
  </rcc>
  <rcc rId="23" sId="7" numFmtId="4">
    <oc r="D39">
      <v>6261</v>
    </oc>
    <nc r="D39">
      <v>5421</v>
    </nc>
  </rcc>
  <rcc rId="24" sId="7" numFmtId="4">
    <oc r="D37">
      <v>11629</v>
    </oc>
    <nc r="D37">
      <v>9780</v>
    </nc>
  </rcc>
  <rcc rId="25" sId="7" numFmtId="4">
    <oc r="D36">
      <v>1797</v>
    </oc>
    <nc r="D36">
      <v>1247</v>
    </nc>
  </rcc>
  <rcc rId="26" sId="7" numFmtId="4">
    <oc r="D27">
      <v>8170</v>
    </oc>
    <nc r="D27">
      <v>8703</v>
    </nc>
  </rcc>
  <rcc rId="27" sId="7" numFmtId="4">
    <oc r="D28">
      <v>519</v>
    </oc>
    <nc r="D28">
      <v>557</v>
    </nc>
  </rcc>
  <rcc rId="28" sId="7" numFmtId="4">
    <oc r="D29">
      <v>3</v>
    </oc>
    <nc r="D29">
      <v>14</v>
    </nc>
  </rcc>
  <rcc rId="29" sId="7" numFmtId="4">
    <oc r="D30">
      <v>226297</v>
    </oc>
    <nc r="D30">
      <v>247337</v>
    </nc>
  </rcc>
  <rcc rId="30" sId="7" numFmtId="4">
    <oc r="D31">
      <v>20330</v>
    </oc>
    <nc r="D31">
      <v>26390</v>
    </nc>
  </rcc>
  <rcc rId="31" sId="7" numFmtId="4">
    <oc r="D32">
      <v>4221</v>
    </oc>
    <nc r="D32">
      <v>1507</v>
    </nc>
  </rcc>
  <rcc rId="32" sId="7" numFmtId="4">
    <oc r="D33">
      <v>15580</v>
    </oc>
    <nc r="D33">
      <v>15432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" sId="2" numFmtId="4">
    <oc r="C12">
      <v>377543</v>
    </oc>
    <nc r="C12">
      <v>59042</v>
    </nc>
  </rcc>
  <rcc rId="223" sId="2" numFmtId="4">
    <nc r="C13">
      <v>179149</v>
    </nc>
  </rcc>
  <rcc rId="224" sId="2" numFmtId="4">
    <nc r="C14">
      <v>97701</v>
    </nc>
  </rcc>
  <rcc rId="225" sId="2" numFmtId="4">
    <nc r="C15">
      <v>12845</v>
    </nc>
  </rcc>
  <rcc rId="226" sId="2" numFmtId="4">
    <nc r="C16">
      <v>10662</v>
    </nc>
  </rcc>
  <rcc rId="227" sId="2" numFmtId="4">
    <nc r="C17">
      <v>10546</v>
    </nc>
  </rcc>
  <rcc rId="228" sId="2" numFmtId="4">
    <nc r="C18">
      <v>7061</v>
    </nc>
  </rcc>
  <rcc rId="229" sId="2" numFmtId="4">
    <nc r="C19">
      <v>243</v>
    </nc>
  </rcc>
  <rcc rId="230" sId="2" numFmtId="4">
    <nc r="C22">
      <v>294</v>
    </nc>
  </rcc>
  <rcc rId="231" sId="2" numFmtId="4">
    <oc r="C24">
      <v>54823</v>
    </oc>
    <nc r="C24">
      <v>33038</v>
    </nc>
  </rcc>
  <rcc rId="232" sId="2" numFmtId="4">
    <nc r="C25">
      <v>13280</v>
    </nc>
  </rcc>
  <rcc rId="233" sId="2" numFmtId="4">
    <nc r="C27">
      <v>8505</v>
    </nc>
  </rcc>
  <rcc rId="234" sId="2">
    <oc r="G69">
      <f>14302+16083+30844</f>
    </oc>
    <nc r="G69">
      <f>14305+16083+30844</f>
    </nc>
  </rcc>
  <rcc rId="235" sId="7" numFmtId="4">
    <oc r="C97">
      <v>61229</v>
    </oc>
    <nc r="C97">
      <v>61232</v>
    </nc>
  </rcc>
  <rcc rId="236" sId="7" numFmtId="4">
    <oc r="D97">
      <v>61229</v>
    </oc>
    <nc r="D97">
      <v>61232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2" customView="1" name="Z_F2D4D9F9_DE61_45A3_92A2_4E78F2B34B7F_.wvu.PrintArea" hidden="1" oldHidden="1">
    <formula>Контроли!$A$1:$G$15</formula>
    <oldFormula>Контроли!$A$1:$G$15</oldFormula>
  </rdn>
  <rdn rId="0" localSheetId="13" customView="1" name="Z_F2D4D9F9_DE61_45A3_92A2_4E78F2B34B7F_.wvu.PrintArea" hidden="1" oldHidden="1">
    <formula>Показатели!$A$1:$D$24</formula>
    <oldFormula>Показатели!$A$1:$D$24</oldFormula>
  </rdn>
  <rdn rId="0" localSheetId="14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" sId="2" numFmtId="4">
    <oc r="C69">
      <f>246920+417</f>
    </oc>
    <nc r="C69">
      <v>246920</v>
    </nc>
  </rcc>
  <rcc rId="248" sId="2">
    <oc r="C75">
      <f>2586+317+869+681</f>
    </oc>
    <nc r="C75">
      <f>3003+317+869+681</f>
    </nc>
  </rcc>
  <rcc rId="249" sId="8">
    <oc r="C13">
      <f>+'Справка 8.1 България'!C13+#REF!+'Справка 8.2 Беларус'!C17+'Справка 8.3 САЩ'!C13</f>
    </oc>
    <nc r="C13">
      <f>+'Справка 8.1 България'!C13+'Справка 8.2 Беларус'!C17+'Справка 8.3 САЩ'!C13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2" customView="1" name="Z_F2D4D9F9_DE61_45A3_92A2_4E78F2B34B7F_.wvu.PrintArea" hidden="1" oldHidden="1">
    <formula>Контроли!$A$1:$G$15</formula>
    <oldFormula>Контроли!$A$1:$G$15</oldFormula>
  </rdn>
  <rdn rId="0" localSheetId="13" customView="1" name="Z_F2D4D9F9_DE61_45A3_92A2_4E78F2B34B7F_.wvu.PrintArea" hidden="1" oldHidden="1">
    <formula>Показатели!$A$1:$D$24</formula>
    <oldFormula>Показатели!$A$1:$D$24</oldFormula>
  </rdn>
  <rdn rId="0" localSheetId="14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" sId="7" numFmtId="4">
    <oc r="C44">
      <v>4453</v>
    </oc>
    <nc r="C44">
      <v>4870</v>
    </nc>
  </rcc>
  <rcc rId="261" sId="7" numFmtId="4">
    <oc r="D44">
      <v>4453</v>
    </oc>
    <nc r="D44">
      <v>4870</v>
    </nc>
  </rcc>
  <rcc rId="262" sId="7" numFmtId="4">
    <oc r="C30">
      <v>247337</v>
    </oc>
    <nc r="C30">
      <v>246920</v>
    </nc>
  </rcc>
  <rcc rId="263" sId="7" numFmtId="4">
    <oc r="D30">
      <v>247337</v>
    </oc>
    <nc r="D30">
      <v>246920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" sId="3">
    <oc r="C34">
      <f>7837+1249</f>
    </oc>
    <nc r="C34">
      <f>7837</f>
    </nc>
  </rcc>
  <rcc rId="265" sId="3" numFmtId="4">
    <oc r="G26">
      <v>14</v>
    </oc>
    <nc r="G26">
      <f>14+1249</f>
    </nc>
  </rcc>
  <rcv guid="{07871067-5294-4FEE-88CE-4A4A5BC97EF0}" action="delete"/>
  <rdn rId="0" localSheetId="1" customView="1" name="Z_07871067_5294_4FEE_88CE_4A4A5BC97EF0_.wvu.PrintArea" hidden="1" oldHidden="1">
    <formula>Начална!$A$1:$B$29</formula>
    <oldFormula>Начална!$A$1:$B$29</oldFormula>
  </rdn>
  <rdn rId="0" localSheetId="2" customView="1" name="Z_07871067_5294_4FEE_88CE_4A4A5BC97EF0_.wvu.PrintArea" hidden="1" oldHidden="1">
    <formula>'1-Баланс'!$A$1:$H$111</formula>
    <oldFormula>'1-Баланс'!$A$1:$H$111</oldFormula>
  </rdn>
  <rdn rId="0" localSheetId="2" customView="1" name="Z_07871067_5294_4FEE_88CE_4A4A5BC97EF0_.wvu.PrintTitles" hidden="1" oldHidden="1">
    <formula>'1-Баланс'!$9:$9</formula>
    <oldFormula>'1-Баланс'!$9:$9</oldFormula>
  </rdn>
  <rdn rId="0" localSheetId="3" customView="1" name="Z_07871067_5294_4FEE_88CE_4A4A5BC97EF0_.wvu.PrintArea" hidden="1" oldHidden="1">
    <formula>'2-Отчет за доходите'!$A$1:$H$59</formula>
    <oldFormula>'2-Отчет за доходите'!$A$1:$H$59</oldFormula>
  </rdn>
  <rdn rId="0" localSheetId="4" customView="1" name="Z_07871067_5294_4FEE_88CE_4A4A5BC97EF0_.wvu.FilterData" hidden="1" oldHidden="1">
    <formula>'3-Отчет за паричния поток'!$A$9:$D$48</formula>
    <oldFormula>'3-Отчет за паричния поток'!$A$9:$D$48</oldFormula>
  </rdn>
  <rdn rId="0" localSheetId="5" customView="1" name="Z_07871067_5294_4FEE_88CE_4A4A5BC97EF0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07871067_5294_4FEE_88CE_4A4A5BC97EF0_.wvu.PrintArea" hidden="1" oldHidden="1">
    <formula>'Справка 6'!$A$1:$R$58</formula>
    <oldFormula>'Справка 6'!$A$1:$R$58</oldFormula>
  </rdn>
  <rdn rId="0" localSheetId="12" customView="1" name="Z_07871067_5294_4FEE_88CE_4A4A5BC97EF0_.wvu.PrintArea" hidden="1" oldHidden="1">
    <formula>Контроли!$A$1:$G$15</formula>
    <oldFormula>Контроли!$A$1:$G$15</oldFormula>
  </rdn>
  <rdn rId="0" localSheetId="13" customView="1" name="Z_07871067_5294_4FEE_88CE_4A4A5BC97EF0_.wvu.PrintArea" hidden="1" oldHidden="1">
    <formula>Показатели!$A$1:$D$24</formula>
    <oldFormula>Показатели!$A$1:$D$24</oldFormula>
  </rdn>
  <rdn rId="0" localSheetId="14" customView="1" name="Z_07871067_5294_4FEE_88CE_4A4A5BC97EF0_.wvu.FilterData" hidden="1" oldHidden="1">
    <formula>Danni!$A$1:$H$1294</formula>
    <oldFormula>Danni!$A$1:$H$1294</oldFormula>
  </rdn>
  <rcv guid="{07871067-5294-4FEE-88CE-4A4A5BC97EF0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6" sId="5" numFmtId="4">
    <oc r="E28">
      <v>730</v>
    </oc>
    <nc r="E28">
      <v>891</v>
    </nc>
  </rcc>
  <rcc rId="277" sId="5" numFmtId="4">
    <oc r="E27">
      <v>365</v>
    </oc>
    <nc r="E27">
      <v>742</v>
    </nc>
  </rcc>
  <rcc rId="278" sId="5">
    <oc r="E30">
      <f>-755-1262+1959+(365+66)</f>
    </oc>
    <nc r="E30">
      <f>-755-1262+1959+(149+66)</f>
    </nc>
  </rcc>
  <rcc rId="279" sId="6" numFmtId="4">
    <oc r="H33">
      <v>365</v>
    </oc>
    <nc r="H33">
      <v>742</v>
    </nc>
  </rcc>
  <rcc rId="280" sId="6" numFmtId="4">
    <oc r="I33">
      <v>730</v>
    </oc>
    <nc r="I33">
      <v>841</v>
    </nc>
  </rcc>
  <rcc rId="281" sId="6">
    <oc r="F33">
      <f>1997+9+19-431</f>
    </oc>
    <nc r="F33">
      <f>1997+9+19-165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2" customView="1" name="Z_F2D4D9F9_DE61_45A3_92A2_4E78F2B34B7F_.wvu.PrintArea" hidden="1" oldHidden="1">
    <formula>Контроли!$A$1:$G$15</formula>
    <oldFormula>Контроли!$A$1:$G$15</oldFormula>
  </rdn>
  <rdn rId="0" localSheetId="13" customView="1" name="Z_F2D4D9F9_DE61_45A3_92A2_4E78F2B34B7F_.wvu.PrintArea" hidden="1" oldHidden="1">
    <formula>Показатели!$A$1:$D$24</formula>
    <oldFormula>Показатели!$A$1:$D$24</oldFormula>
  </rdn>
  <rdn rId="0" localSheetId="14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" sId="6" numFmtId="4">
    <oc r="F33">
      <f>1997+9+19-165</f>
    </oc>
    <nc r="F33">
      <v>2006</v>
    </nc>
  </rcc>
  <rcc rId="293" sId="9" numFmtId="4">
    <oc r="C13">
      <v>8234112</v>
    </oc>
    <nc r="C13">
      <v>8968255</v>
    </nc>
  </rcc>
  <rcc rId="294" sId="9" numFmtId="4">
    <oc r="F13">
      <v>8968255</v>
    </oc>
    <nc r="F13">
      <f>89328-363+730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2" customView="1" name="Z_F2D4D9F9_DE61_45A3_92A2_4E78F2B34B7F_.wvu.PrintArea" hidden="1" oldHidden="1">
    <formula>Контроли!$A$1:$G$15</formula>
    <oldFormula>Контроли!$A$1:$G$15</oldFormula>
  </rdn>
  <rdn rId="0" localSheetId="13" customView="1" name="Z_F2D4D9F9_DE61_45A3_92A2_4E78F2B34B7F_.wvu.PrintArea" hidden="1" oldHidden="1">
    <formula>Показатели!$A$1:$D$24</formula>
    <oldFormula>Показатели!$A$1:$D$24</oldFormula>
  </rdn>
  <rdn rId="0" localSheetId="14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" sId="6" numFmtId="4">
    <oc r="E33">
      <f>2085+181+144</f>
    </oc>
    <nc r="E33">
      <v>2556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" sId="1">
    <oc r="B17" t="inlineStr">
      <is>
        <t>Симеон Донев</t>
      </is>
    </oc>
    <nc r="B17" t="inlineStr">
      <is>
        <t>Огнян Донев</t>
      </is>
    </nc>
  </rcc>
  <rcc rId="307" sId="1" numFmtId="19">
    <oc r="B11">
      <v>44527</v>
    </oc>
    <nc r="B11">
      <v>44529</v>
    </nc>
  </rcc>
  <rcc rId="308" sId="1">
    <oc r="B18" t="inlineStr">
      <is>
        <t>Прокурист</t>
      </is>
    </oc>
    <nc r="B18" t="inlineStr">
      <is>
        <t>Изпълнителен директор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2" customView="1" name="Z_F2D4D9F9_DE61_45A3_92A2_4E78F2B34B7F_.wvu.PrintArea" hidden="1" oldHidden="1">
    <formula>Контроли!$A$1:$G$15</formula>
    <oldFormula>Контроли!$A$1:$G$15</oldFormula>
  </rdn>
  <rdn rId="0" localSheetId="13" customView="1" name="Z_F2D4D9F9_DE61_45A3_92A2_4E78F2B34B7F_.wvu.PrintArea" hidden="1" oldHidden="1">
    <formula>Показатели!$A$1:$D$24</formula>
    <oldFormula>Показатели!$A$1:$D$24</oldFormula>
  </rdn>
  <rdn rId="0" localSheetId="14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9" numFmtId="4">
    <oc r="F13">
      <f>89328-363+730</f>
    </oc>
    <nc r="F13">
      <v>89695</v>
    </nc>
  </rcc>
  <rcc rId="320" sId="8" numFmtId="4">
    <oc r="C13">
      <f>+'Справка 8.1 България'!C13+'Справка 8.2 Беларус'!C17+'Справка 8.3 САЩ'!C13</f>
    </oc>
    <nc r="C13">
      <v>8970051</v>
    </nc>
  </rcc>
  <rcc rId="321" sId="8" numFmtId="4">
    <oc r="F13">
      <f>+'Справка 8.1 България'!F13+'Справка 8.2 Беларус'!F13+'Справка 8.3 САЩ'!F13</f>
    </oc>
    <nc r="F13">
      <v>89718</v>
    </nc>
  </rcc>
  <rcc rId="322" sId="8" numFmtId="4">
    <oc r="G13">
      <f>+'Справка 8.1 България'!G13+'Справка 8.2 Беларус'!G17+'Справка 8.3 САЩ'!G13</f>
    </oc>
    <nc r="G13">
      <v>365</v>
    </nc>
  </rcc>
  <rcc rId="323" sId="8" numFmtId="4">
    <oc r="H13">
      <f>+'Справка 8.1 България'!H13+'Справка 8.2 Беларус'!H17+'Справка 8.3 САЩ'!H13</f>
    </oc>
    <nc r="H13">
      <v>730</v>
    </nc>
  </rcc>
  <rcc rId="324" sId="8" numFmtId="4">
    <oc r="F17">
      <f>+'Справка 8.2 Беларус'!F17</f>
    </oc>
    <nc r="F17">
      <v>2777</v>
    </nc>
  </rcc>
  <rcc rId="325" sId="8" numFmtId="4">
    <oc r="C21">
      <f>+'Справка 8.1 България'!C21</f>
    </oc>
    <nc r="C21">
      <v>10111467</v>
    </nc>
  </rcc>
  <rcc rId="326" sId="8" numFmtId="4">
    <oc r="F21">
      <f>+'Справка 8.1 България'!F21</f>
    </oc>
    <nc r="F21">
      <v>37735</v>
    </nc>
  </rcc>
  <rcc rId="327" sId="7" numFmtId="4">
    <oc r="C20">
      <f>3120+847+78</f>
    </oc>
    <nc r="C20">
      <v>4045</v>
    </nc>
  </rcc>
  <rcc rId="328" sId="7" numFmtId="4">
    <oc r="C28">
      <f>536+21</f>
    </oc>
    <nc r="C28">
      <v>557</v>
    </nc>
  </rcc>
  <rcc rId="329" sId="7" numFmtId="4">
    <oc r="C39">
      <f>5412+9</f>
    </oc>
    <nc r="C39">
      <v>5421</v>
    </nc>
  </rcc>
  <rcc rId="330" sId="7" numFmtId="4">
    <oc r="C66">
      <f>57787+7453+7746</f>
    </oc>
    <nc r="C66">
      <v>72986</v>
    </nc>
  </rcc>
  <rcc rId="331" sId="7" numFmtId="4">
    <oc r="C74">
      <f>1014+1397+175+24</f>
    </oc>
    <nc r="C74">
      <v>2610</v>
    </nc>
  </rcc>
  <rcc rId="332" sId="7" numFmtId="4">
    <oc r="C95">
      <f>1162+365+18+36</f>
    </oc>
    <nc r="C95">
      <v>1581</v>
    </nc>
  </rcc>
  <rcc rId="333" sId="6" numFmtId="4">
    <oc r="E31">
      <f>1694+272+108</f>
    </oc>
    <nc r="E31">
      <v>2074</v>
    </nc>
  </rcc>
  <rcc rId="334" sId="6" numFmtId="4">
    <oc r="E32">
      <f>7729+2880+220+1731</f>
    </oc>
    <nc r="E32">
      <v>12560</v>
    </nc>
  </rcc>
  <rcc rId="335" sId="5" numFmtId="4">
    <oc r="E30">
      <f>-755-1262+1959+(149+66)</f>
    </oc>
    <nc r="E30">
      <v>157</v>
    </nc>
  </rcc>
  <rcc rId="336" sId="5" numFmtId="4">
    <oc r="I30">
      <f>-267+2017</f>
    </oc>
    <nc r="I30">
      <v>1750</v>
    </nc>
  </rcc>
  <rcc rId="337" sId="5" numFmtId="4">
    <oc r="M25">
      <f>69-53</f>
    </oc>
    <nc r="M25">
      <v>16</v>
    </nc>
  </rcc>
  <rcc rId="338" sId="5" numFmtId="4">
    <oc r="M30">
      <f>-1892-490+4</f>
    </oc>
    <nc r="M30">
      <v>-2378</v>
    </nc>
  </rcc>
  <rcc rId="339" sId="3" numFmtId="4">
    <oc r="G14">
      <f>4788+758+188</f>
    </oc>
    <nc r="G14">
      <v>5734</v>
    </nc>
  </rcc>
  <rcc rId="340" sId="3" numFmtId="4">
    <oc r="G15">
      <f>605+413+412+142+66+36+2+1572</f>
    </oc>
    <nc r="G15">
      <v>3248</v>
    </nc>
  </rcc>
  <rcc rId="341" sId="3" numFmtId="4">
    <oc r="G22">
      <f>3267+149+26</f>
    </oc>
    <nc r="G22">
      <v>3442</v>
    </nc>
  </rcc>
  <rcc rId="342" sId="3" numFmtId="4">
    <oc r="G25">
      <f>2271+190</f>
    </oc>
    <nc r="G25">
      <v>2461</v>
    </nc>
  </rcc>
  <rcc rId="343" sId="3" numFmtId="4">
    <oc r="G26">
      <f>14+1249</f>
    </oc>
    <nc r="G26">
      <v>1263</v>
    </nc>
  </rcc>
  <rcc rId="344" sId="3" numFmtId="4">
    <oc r="C15">
      <f>89468+3035+1001+986+255</f>
    </oc>
    <nc r="C15">
      <v>94745</v>
    </nc>
  </rcc>
  <rcc rId="345" sId="3" numFmtId="4">
    <oc r="C16">
      <f>16269+195</f>
    </oc>
    <nc r="C16">
      <v>16464</v>
    </nc>
  </rcc>
  <rcc rId="346" sId="3" numFmtId="4">
    <oc r="C19">
      <f>5035+2050</f>
    </oc>
    <nc r="C19">
      <v>7085</v>
    </nc>
  </rcc>
  <rcc rId="347" sId="3" numFmtId="4">
    <oc r="C20">
      <f>-188+55+2050</f>
    </oc>
    <nc r="C20">
      <v>1917</v>
    </nc>
  </rcc>
  <rcc rId="348" sId="3" numFmtId="4">
    <oc r="C25">
      <f>6362+1409+549+271</f>
    </oc>
    <nc r="C25">
      <v>8591</v>
    </nc>
  </rcc>
  <rcc rId="349" sId="3" numFmtId="4">
    <oc r="C28">
      <f>151+62+827</f>
    </oc>
    <nc r="C28">
      <v>1040</v>
    </nc>
  </rcc>
  <rcc rId="350" sId="2" numFmtId="4">
    <oc r="C51">
      <f>11815-7770</f>
    </oc>
    <nc r="C51">
      <v>4045</v>
    </nc>
  </rcc>
  <rcc rId="351" sId="2" numFmtId="4">
    <oc r="C60">
      <f>26517+5792</f>
    </oc>
    <nc r="C60">
      <v>32309</v>
    </nc>
  </rcc>
  <rcc rId="352" sId="2" numFmtId="4">
    <oc r="C75">
      <f>3003+317+869+681</f>
    </oc>
    <nc r="C75">
      <v>4870</v>
    </nc>
  </rcc>
  <rcc rId="353" sId="2" numFmtId="4">
    <oc r="C89">
      <f>13762+5635+33</f>
    </oc>
    <nc r="C89">
      <v>19430</v>
    </nc>
  </rcc>
  <rcc rId="354" sId="2" numFmtId="4">
    <oc r="G69">
      <f>14305+16083+30844</f>
    </oc>
    <nc r="G69">
      <v>61232</v>
    </nc>
  </rcc>
  <rcc rId="355" sId="2" numFmtId="4">
    <oc r="G49">
      <f>45250+12537</f>
    </oc>
    <nc r="G49">
      <v>57787</v>
    </nc>
  </rcc>
  <rcc rId="356" sId="2" numFmtId="4">
    <oc r="G29">
      <f>410182-50528</f>
    </oc>
    <nc r="G29">
      <v>359654</v>
    </nc>
  </rcc>
  <rcc rId="357" sId="2" numFmtId="4">
    <oc r="G21">
      <f>27618+1086-726</f>
    </oc>
    <nc r="G21">
      <v>27978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" sId="7">
    <oc r="C74">
      <f>1004+983+79+24</f>
    </oc>
    <nc r="C74">
      <f>1014+1397+175+24</f>
    </nc>
  </rcc>
  <rcc rId="34" sId="7" numFmtId="4">
    <oc r="C76">
      <f>93</f>
    </oc>
    <nc r="C76"/>
  </rcc>
  <rcc rId="35" sId="7" numFmtId="4">
    <oc r="C56">
      <v>8849</v>
    </oc>
    <nc r="C56">
      <v>8882</v>
    </nc>
  </rcc>
  <rcc rId="36" sId="7" numFmtId="4">
    <oc r="C59">
      <v>50414</v>
    </oc>
    <nc r="C59">
      <v>34797</v>
    </nc>
  </rcc>
  <rcc rId="37" sId="7">
    <oc r="C66">
      <f>58630+7405+7875</f>
    </oc>
    <nc r="C66">
      <f>57787+7453+7746</f>
    </nc>
  </rcc>
  <rcc rId="38" sId="7" numFmtId="4">
    <oc r="C70">
      <v>6478</v>
    </oc>
    <nc r="C70">
      <v>7746</v>
    </nc>
  </rcc>
  <rcc rId="39" sId="7" numFmtId="4">
    <oc r="C67">
      <v>46132</v>
    </oc>
    <nc r="C67">
      <v>45250</v>
    </nc>
  </rcc>
  <rcc rId="40" sId="7" numFmtId="4">
    <oc r="D74">
      <v>2090</v>
    </oc>
    <nc r="D74"/>
  </rcc>
  <rcc rId="41" sId="7" numFmtId="4">
    <oc r="D76">
      <v>93</v>
    </oc>
    <nc r="D76"/>
  </rcc>
  <rcc rId="42" sId="7" numFmtId="4">
    <oc r="D78">
      <v>215820</v>
    </oc>
    <nc r="D78"/>
  </rcc>
  <rcc rId="43" sId="7" numFmtId="4">
    <oc r="D85">
      <v>12484</v>
    </oc>
    <nc r="D85"/>
  </rcc>
  <rcc rId="44" sId="7" numFmtId="4">
    <oc r="D89">
      <v>171950</v>
    </oc>
    <nc r="D89"/>
  </rcc>
  <rcc rId="45" sId="7" numFmtId="4">
    <oc r="D90">
      <v>969</v>
    </oc>
    <nc r="D90"/>
  </rcc>
  <rcc rId="46" sId="7" numFmtId="4">
    <oc r="D91">
      <v>15051</v>
    </oc>
    <nc r="D91"/>
  </rcc>
  <rcc rId="47" sId="7" numFmtId="4">
    <oc r="D93">
      <v>110</v>
    </oc>
    <nc r="D93"/>
  </rcc>
  <rcc rId="48" sId="7" numFmtId="4">
    <oc r="D94">
      <v>5444</v>
    </oc>
    <nc r="D94"/>
  </rcc>
  <rcc rId="49" sId="7" numFmtId="4">
    <oc r="D95">
      <v>1402</v>
    </oc>
    <nc r="D95"/>
  </rcc>
  <rcc rId="50" sId="7" numFmtId="4">
    <oc r="D96">
      <v>3378</v>
    </oc>
    <nc r="D96"/>
  </rcc>
  <rcc rId="51" sId="7" numFmtId="4">
    <oc r="D97">
      <v>59182</v>
    </oc>
    <nc r="D97"/>
  </rcc>
  <rcc rId="52" sId="7" numFmtId="4">
    <oc r="C78">
      <v>215820</v>
    </oc>
    <nc r="C78">
      <v>187948</v>
    </nc>
  </rcc>
  <rcc rId="53" sId="7" numFmtId="4">
    <oc r="C85">
      <v>12484</v>
    </oc>
    <nc r="C85">
      <v>25690</v>
    </nc>
  </rcc>
  <rcc rId="54" sId="7" numFmtId="4">
    <oc r="C89">
      <v>171950</v>
    </oc>
    <nc r="C89">
      <v>187987</v>
    </nc>
  </rcc>
  <rcc rId="55" sId="7" numFmtId="4">
    <oc r="C90">
      <v>969</v>
    </oc>
    <nc r="C90">
      <v>648</v>
    </nc>
  </rcc>
  <rcc rId="56" sId="7" numFmtId="4">
    <oc r="C91">
      <v>15051</v>
    </oc>
    <nc r="C91">
      <v>15075</v>
    </nc>
  </rcc>
  <rcc rId="57" sId="7" numFmtId="4">
    <oc r="C96">
      <v>3378</v>
    </oc>
    <nc r="C96">
      <v>3201</v>
    </nc>
  </rcc>
  <rcc rId="58" sId="7" numFmtId="4">
    <oc r="C97">
      <v>59182</v>
    </oc>
    <nc r="C97">
      <v>61229</v>
    </nc>
  </rcc>
  <rcc rId="59" sId="7" numFmtId="4">
    <oc r="C93">
      <v>110</v>
    </oc>
    <nc r="C93">
      <v>83</v>
    </nc>
  </rcc>
  <rcc rId="60" sId="7" numFmtId="4">
    <oc r="C94">
      <v>5444</v>
    </oc>
    <nc r="C94">
      <v>6342</v>
    </nc>
  </rcc>
  <rcc rId="61" sId="7">
    <oc r="C95">
      <f>1119+177+5+101</f>
    </oc>
    <nc r="C95">
      <f>1162+365+18+36</f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E3D9EAF_1767_451E_80FE_3028500A9C7F_.wvu.PrintArea" hidden="1" oldHidden="1">
    <formula>Начална!$A$1:$B$29</formula>
  </rdn>
  <rdn rId="0" localSheetId="2" customView="1" name="Z_DE3D9EAF_1767_451E_80FE_3028500A9C7F_.wvu.PrintArea" hidden="1" oldHidden="1">
    <formula>'1-Баланс'!$A$1:$H$111</formula>
  </rdn>
  <rdn rId="0" localSheetId="2" customView="1" name="Z_DE3D9EAF_1767_451E_80FE_3028500A9C7F_.wvu.PrintTitles" hidden="1" oldHidden="1">
    <formula>'1-Баланс'!$9:$9</formula>
  </rdn>
  <rdn rId="0" localSheetId="3" customView="1" name="Z_DE3D9EAF_1767_451E_80FE_3028500A9C7F_.wvu.PrintArea" hidden="1" oldHidden="1">
    <formula>'2-Отчет за доходите'!$A$1:$H$59</formula>
  </rdn>
  <rdn rId="0" localSheetId="4" customView="1" name="Z_DE3D9EAF_1767_451E_80FE_3028500A9C7F_.wvu.FilterData" hidden="1" oldHidden="1">
    <formula>'3-Отчет за паричния поток'!$A$9:$D$48</formula>
  </rdn>
  <rdn rId="0" localSheetId="5" customView="1" name="Z_DE3D9EAF_1767_451E_80FE_3028500A9C7F_.wvu.PrintArea" hidden="1" oldHidden="1">
    <formula>'4-Отчет за собствения капитал'!$A$1:$M$51</formula>
  </rdn>
  <rdn rId="0" localSheetId="6" customView="1" name="Z_DE3D9EAF_1767_451E_80FE_3028500A9C7F_.wvu.PrintArea" hidden="1" oldHidden="1">
    <formula>'Справка 6'!$A$1:$R$58</formula>
  </rdn>
  <rdn rId="0" localSheetId="12" customView="1" name="Z_DE3D9EAF_1767_451E_80FE_3028500A9C7F_.wvu.PrintArea" hidden="1" oldHidden="1">
    <formula>Контроли!$A$1:$G$15</formula>
  </rdn>
  <rdn rId="0" localSheetId="13" customView="1" name="Z_DE3D9EAF_1767_451E_80FE_3028500A9C7F_.wvu.PrintArea" hidden="1" oldHidden="1">
    <formula>Показатели!$A$1:$D$24</formula>
  </rdn>
  <rdn rId="0" localSheetId="14" customView="1" name="Z_DE3D9EAF_1767_451E_80FE_3028500A9C7F_.wvu.FilterData" hidden="1" oldHidden="1">
    <formula>Danni!$A$1:$H$1294</formula>
  </rdn>
  <rcv guid="{DE3D9EAF-1767-451E-80FE-3028500A9C7F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" sId="7" numFmtId="4">
    <nc r="D74">
      <v>2610</v>
    </nc>
  </rcc>
  <rcc rId="63" sId="7" numFmtId="4">
    <nc r="D78">
      <v>187948</v>
    </nc>
  </rcc>
  <rcc rId="64" sId="7" numFmtId="4">
    <nc r="D85">
      <v>25690</v>
    </nc>
  </rcc>
  <rcc rId="65" sId="7" numFmtId="4">
    <nc r="D89">
      <v>187987</v>
    </nc>
  </rcc>
  <rcc rId="66" sId="7" numFmtId="4">
    <nc r="D90">
      <v>648</v>
    </nc>
  </rcc>
  <rcc rId="67" sId="7" numFmtId="4">
    <nc r="D91">
      <v>15075</v>
    </nc>
  </rcc>
  <rcc rId="68" sId="7" numFmtId="4">
    <nc r="D93">
      <v>83</v>
    </nc>
  </rcc>
  <rcc rId="69" sId="7" numFmtId="4">
    <nc r="D94">
      <v>6342</v>
    </nc>
  </rcc>
  <rcc rId="70" sId="7" numFmtId="4">
    <nc r="D95">
      <v>1581</v>
    </nc>
  </rcc>
  <rcc rId="71" sId="7" numFmtId="4">
    <nc r="D96">
      <v>3201</v>
    </nc>
  </rcc>
  <rcc rId="72" sId="7" numFmtId="4">
    <nc r="D97">
      <v>61229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" sId="7" numFmtId="4">
    <nc r="D106">
      <v>244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" sId="7" numFmtId="4">
    <oc r="F59">
      <v>68732</v>
    </oc>
    <nc r="F59">
      <v>55437</v>
    </nc>
  </rcc>
  <rcc rId="75" sId="7">
    <oc r="F78">
      <f>348681-68732</f>
    </oc>
    <nc r="F78">
      <f>342158-55437</f>
    </nc>
  </rcc>
  <rcc rId="76" sId="9" numFmtId="4">
    <oc r="C21">
      <v>9011467</v>
    </oc>
    <nc r="C21">
      <v>10111467</v>
    </nc>
  </rcc>
  <rcc rId="77" sId="9" numFmtId="4">
    <oc r="F21">
      <v>33656</v>
    </oc>
    <nc r="F21">
      <v>37735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2" customView="1" name="Z_F2D4D9F9_DE61_45A3_92A2_4E78F2B34B7F_.wvu.PrintArea" hidden="1" oldHidden="1">
    <formula>Контроли!$A$1:$G$15</formula>
    <oldFormula>Контроли!$A$1:$G$15</oldFormula>
  </rdn>
  <rdn rId="0" localSheetId="13" customView="1" name="Z_F2D4D9F9_DE61_45A3_92A2_4E78F2B34B7F_.wvu.PrintArea" hidden="1" oldHidden="1">
    <formula>Показатели!$A$1:$D$24</formula>
    <oldFormula>Показатели!$A$1:$D$24</oldFormula>
  </rdn>
  <rdn rId="0" localSheetId="14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" sId="4" numFmtId="4">
    <oc r="D11">
      <v>631981</v>
    </oc>
    <nc r="D11">
      <v>950167</v>
    </nc>
  </rcc>
  <rcc rId="89" sId="4" numFmtId="4">
    <oc r="D12">
      <v>-639453</v>
    </oc>
    <nc r="D12">
      <v>-940052</v>
    </nc>
  </rcc>
  <rcc rId="90" sId="4" numFmtId="4">
    <oc r="D14">
      <v>-63221</v>
    </oc>
    <nc r="D14">
      <v>-90114</v>
    </nc>
  </rcc>
  <rcc rId="91" sId="4" numFmtId="4">
    <oc r="D15">
      <f>-35669+7677</f>
    </oc>
    <nc r="D15">
      <v>-43913</v>
    </nc>
  </rcc>
  <rcc rId="92" sId="4" numFmtId="4">
    <oc r="D16">
      <v>-4718</v>
    </oc>
    <nc r="D16">
      <v>-6276</v>
    </nc>
  </rcc>
  <rcc rId="93" sId="4" numFmtId="4">
    <oc r="D18">
      <v>-4951</v>
    </oc>
    <nc r="D18">
      <v>-6962</v>
    </nc>
  </rcc>
  <rcc rId="94" sId="4" numFmtId="4">
    <oc r="D19">
      <v>-922</v>
    </oc>
    <nc r="D19">
      <v>-1813</v>
    </nc>
  </rcc>
  <rcc rId="95" sId="4" numFmtId="4">
    <oc r="D20">
      <v>-729</v>
    </oc>
    <nc r="D20">
      <v>-2114</v>
    </nc>
  </rcc>
  <rcc rId="96" sId="4" numFmtId="4">
    <oc r="D23">
      <f>-12911-379-826</f>
    </oc>
    <nc r="D23">
      <v>-26854</v>
    </nc>
  </rcc>
  <rcc rId="97" sId="4" numFmtId="4">
    <oc r="D24">
      <f>657</f>
    </oc>
    <nc r="D24">
      <v>1676</v>
    </nc>
  </rcc>
  <rcc rId="98" sId="4" numFmtId="4">
    <oc r="D25">
      <f>-1617-1023</f>
    </oc>
    <nc r="D25">
      <v>-4832</v>
    </nc>
  </rcc>
  <rcc rId="99" sId="4" numFmtId="4">
    <oc r="D26">
      <f>37152+578</f>
    </oc>
    <nc r="D26">
      <v>38771</v>
    </nc>
  </rcc>
  <rcc rId="100" sId="4" numFmtId="4">
    <oc r="D27">
      <v>1524</v>
    </oc>
    <nc r="D27">
      <v>1717</v>
    </nc>
  </rcc>
  <rcc rId="101" sId="4" numFmtId="4">
    <oc r="D28">
      <f>-4658-1595</f>
    </oc>
    <nc r="D28">
      <v>-9556</v>
    </nc>
  </rcc>
  <rcc rId="102" sId="4" numFmtId="4">
    <oc r="D29">
      <f>35+1</f>
    </oc>
    <nc r="D29">
      <v>54</v>
    </nc>
  </rcc>
  <rcc rId="103" sId="4" numFmtId="4">
    <oc r="D30">
      <v>0</v>
    </oc>
    <nc r="D30">
      <v>61</v>
    </nc>
  </rcc>
  <rcc rId="104" sId="4" numFmtId="4">
    <oc r="D35">
      <v>41</v>
    </oc>
    <nc r="D35">
      <v>37</v>
    </nc>
  </rcc>
  <rcc rId="105" sId="4" numFmtId="4">
    <oc r="D36">
      <f>-262+548</f>
    </oc>
    <nc r="D36">
      <v>543</v>
    </nc>
  </rcc>
  <rcc rId="106" sId="4" numFmtId="4">
    <oc r="D37">
      <f>8611+13987+141</f>
    </oc>
    <nc r="D37">
      <v>23151</v>
    </nc>
  </rcc>
  <rcc rId="107" sId="4" numFmtId="4">
    <oc r="D38">
      <f>-16814-8465-215</f>
    </oc>
    <nc r="D38">
      <v>-37851</v>
    </nc>
  </rcc>
  <rcc rId="108" sId="4" numFmtId="4">
    <oc r="D39">
      <v>-7419</v>
    </oc>
    <nc r="D39">
      <v>-11363</v>
    </nc>
  </rcc>
  <rcc rId="109" sId="4" numFmtId="4">
    <oc r="D40">
      <v>-697</v>
    </oc>
    <nc r="D40">
      <v>-1255</v>
    </nc>
  </rcc>
  <rcc rId="110" sId="4" numFmtId="4">
    <oc r="D41">
      <v>-6302</v>
    </oc>
    <nc r="D41">
      <v>-17646</v>
    </nc>
  </rcc>
  <rcc rId="111" sId="4" numFmtId="4">
    <oc r="D42">
      <f>849+102822-170</f>
    </oc>
    <nc r="D42">
      <v>178873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2" customView="1" name="Z_F2D4D9F9_DE61_45A3_92A2_4E78F2B34B7F_.wvu.PrintArea" hidden="1" oldHidden="1">
    <formula>Контроли!$A$1:$G$15</formula>
    <oldFormula>Контроли!$A$1:$G$15</oldFormula>
  </rdn>
  <rdn rId="0" localSheetId="13" customView="1" name="Z_F2D4D9F9_DE61_45A3_92A2_4E78F2B34B7F_.wvu.PrintArea" hidden="1" oldHidden="1">
    <formula>Показатели!$A$1:$D$24</formula>
    <oldFormula>Показатели!$A$1:$D$24</oldFormula>
  </rdn>
  <rdn rId="0" localSheetId="14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" sId="4" numFmtId="4">
    <oc r="C11">
      <v>775978</v>
    </oc>
    <nc r="C11">
      <v>1187535</v>
    </nc>
  </rcc>
  <rcc rId="123" sId="4" numFmtId="4">
    <oc r="C12">
      <v>-708413</v>
    </oc>
    <nc r="C12">
      <v>-1087152</v>
    </nc>
  </rcc>
  <rcc rId="124" sId="4" numFmtId="4">
    <oc r="C14">
      <v>-72108</v>
    </oc>
    <nc r="C14">
      <v>-108355</v>
    </nc>
  </rcc>
  <rcc rId="125" sId="4" numFmtId="4">
    <oc r="C15">
      <f>-38223+4244</f>
    </oc>
    <nc r="C15">
      <v>-49509</v>
    </nc>
  </rcc>
  <rcc rId="126" sId="4" numFmtId="4">
    <oc r="C16">
      <f>-4440+8</f>
    </oc>
    <nc r="C16">
      <v>-6194</v>
    </nc>
  </rcc>
  <rcc rId="127" sId="4" numFmtId="4">
    <oc r="C18">
      <v>-3868</v>
    </oc>
    <nc r="C18">
      <v>-5604</v>
    </nc>
  </rcc>
  <rcc rId="128" sId="4" numFmtId="4">
    <oc r="C19">
      <v>-175</v>
    </oc>
    <nc r="C19">
      <v>537</v>
    </nc>
  </rcc>
  <rcc rId="129" sId="4" numFmtId="4">
    <oc r="C20">
      <v>-164</v>
    </oc>
    <nc r="C20">
      <v>-1699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2" customView="1" name="Z_17A0B690_90B4_478F_B629_540D801E18FD_.wvu.PrintArea" hidden="1" oldHidden="1">
    <formula>Контроли!$A$1:$G$15</formula>
    <oldFormula>Контроли!$A$1:$G$15</oldFormula>
  </rdn>
  <rdn rId="0" localSheetId="13" customView="1" name="Z_17A0B690_90B4_478F_B629_540D801E18FD_.wvu.PrintArea" hidden="1" oldHidden="1">
    <formula>Показатели!$A$1:$D$24</formula>
    <oldFormula>Показатели!$A$1:$D$24</oldFormula>
  </rdn>
  <rdn rId="0" localSheetId="14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workbookViewId="0">
      <selection activeCell="B10" sqref="B10"/>
    </sheetView>
  </sheetViews>
  <sheetFormatPr defaultColWidth="9.140625" defaultRowHeight="15.75"/>
  <cols>
    <col min="1" max="1" width="30.7109375" style="643" customWidth="1"/>
    <col min="2" max="2" width="65.7109375" style="643" customWidth="1"/>
    <col min="3" max="26" width="11.42578125" style="643" customWidth="1"/>
    <col min="27" max="27" width="9.85546875" style="643" bestFit="1" customWidth="1"/>
    <col min="28" max="256" width="11.42578125" style="643" customWidth="1"/>
    <col min="257" max="16384" width="9.140625" style="643"/>
  </cols>
  <sheetData>
    <row r="1" spans="1:27">
      <c r="A1" s="1" t="s">
        <v>937</v>
      </c>
      <c r="B1" s="2"/>
      <c r="Z1" s="654">
        <v>1</v>
      </c>
      <c r="AA1" s="655">
        <f>IF(ISBLANK(_endDate),"",_endDate)</f>
        <v>44469</v>
      </c>
    </row>
    <row r="2" spans="1:27">
      <c r="A2" s="642" t="s">
        <v>938</v>
      </c>
      <c r="B2" s="637"/>
      <c r="Z2" s="654">
        <v>2</v>
      </c>
      <c r="AA2" s="655">
        <f>IF(ISBLANK(_pdeReportingDate),"",_pdeReportingDate)</f>
        <v>44529</v>
      </c>
    </row>
    <row r="3" spans="1:27">
      <c r="A3" s="638" t="s">
        <v>935</v>
      </c>
      <c r="B3" s="639"/>
      <c r="Z3" s="654">
        <v>3</v>
      </c>
      <c r="AA3" s="655" t="str">
        <f>IF(ISBLANK(_authorName),"",_authorName)</f>
        <v>Людмила Бонджова</v>
      </c>
    </row>
    <row r="4" spans="1:27">
      <c r="A4" s="636" t="s">
        <v>961</v>
      </c>
      <c r="B4" s="637"/>
    </row>
    <row r="5" spans="1:27" ht="47.25">
      <c r="A5" s="640" t="s">
        <v>903</v>
      </c>
      <c r="B5" s="641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59">
        <v>44197</v>
      </c>
    </row>
    <row r="10" spans="1:27">
      <c r="A10" s="7" t="s">
        <v>2</v>
      </c>
      <c r="B10" s="659">
        <v>44469</v>
      </c>
    </row>
    <row r="11" spans="1:27">
      <c r="A11" s="7" t="s">
        <v>950</v>
      </c>
      <c r="B11" s="659">
        <v>44529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6" t="s">
        <v>963</v>
      </c>
    </row>
    <row r="15" spans="1:27">
      <c r="A15" s="10" t="s">
        <v>942</v>
      </c>
      <c r="B15" s="537" t="s">
        <v>898</v>
      </c>
    </row>
    <row r="16" spans="1:27">
      <c r="A16" s="7" t="s">
        <v>3</v>
      </c>
      <c r="B16" s="536" t="s">
        <v>962</v>
      </c>
    </row>
    <row r="17" spans="1:2">
      <c r="A17" s="7" t="s">
        <v>894</v>
      </c>
      <c r="B17" s="536" t="s">
        <v>972</v>
      </c>
    </row>
    <row r="18" spans="1:2">
      <c r="A18" s="7" t="s">
        <v>893</v>
      </c>
      <c r="B18" s="536" t="s">
        <v>973</v>
      </c>
    </row>
    <row r="19" spans="1:2">
      <c r="A19" s="7" t="s">
        <v>4</v>
      </c>
      <c r="B19" s="536" t="s">
        <v>970</v>
      </c>
    </row>
    <row r="20" spans="1:2">
      <c r="A20" s="7" t="s">
        <v>5</v>
      </c>
      <c r="B20" s="536" t="s">
        <v>971</v>
      </c>
    </row>
    <row r="21" spans="1:2">
      <c r="A21" s="10" t="s">
        <v>6</v>
      </c>
      <c r="B21" s="537" t="s">
        <v>967</v>
      </c>
    </row>
    <row r="22" spans="1:2">
      <c r="A22" s="10" t="s">
        <v>891</v>
      </c>
      <c r="B22" s="537" t="s">
        <v>965</v>
      </c>
    </row>
    <row r="23" spans="1:2">
      <c r="A23" s="10" t="s">
        <v>7</v>
      </c>
      <c r="B23" s="644" t="s">
        <v>966</v>
      </c>
    </row>
    <row r="24" spans="1:2">
      <c r="A24" s="10" t="s">
        <v>892</v>
      </c>
      <c r="B24" s="645" t="s">
        <v>964</v>
      </c>
    </row>
    <row r="25" spans="1:2">
      <c r="A25" s="7" t="s">
        <v>895</v>
      </c>
      <c r="B25" s="646"/>
    </row>
    <row r="26" spans="1:2">
      <c r="A26" s="10" t="s">
        <v>943</v>
      </c>
      <c r="B26" s="656" t="s">
        <v>968</v>
      </c>
    </row>
    <row r="27" spans="1:2">
      <c r="A27" s="10" t="s">
        <v>944</v>
      </c>
      <c r="B27" s="537" t="s">
        <v>969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DE3D9EAF-1767-451E-80FE-3028500A9C7F}" fitToPage="1">
      <selection activeCell="B10" sqref="B10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1" orientation="portrait" r:id="rId2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showPageBreaks="1" fitToPage="1" printArea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  <customSheetView guid="{F2D4D9F9-DE61-45A3-92A2-4E78F2B34B7F}" showPageBreaks="1" fitToPage="1" printArea="1">
      <selection activeCell="B19" sqref="B19"/>
      <pageMargins left="0.70866141732283472" right="0.70866141732283472" top="1.1811023622047245" bottom="0.74803149606299213" header="0.31496062992125984" footer="0.31496062992125984"/>
      <pageSetup paperSize="9" scale="90" orientation="portrait" r:id="rId4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5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5"/>
  <sheetViews>
    <sheetView zoomScale="90" zoomScaleNormal="9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5" t="s">
        <v>453</v>
      </c>
      <c r="B8" s="747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04" t="s">
        <v>760</v>
      </c>
      <c r="H9" s="104"/>
      <c r="I9" s="750" t="s">
        <v>818</v>
      </c>
    </row>
    <row r="10" spans="1:22" s="103" customFormat="1" ht="24" customHeight="1">
      <c r="A10" s="746"/>
      <c r="B10" s="748"/>
      <c r="C10" s="749"/>
      <c r="D10" s="749"/>
      <c r="E10" s="749"/>
      <c r="F10" s="749"/>
      <c r="G10" s="670" t="s">
        <v>516</v>
      </c>
      <c r="H10" s="670" t="s">
        <v>517</v>
      </c>
      <c r="I10" s="750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/>
      <c r="D13" s="430"/>
      <c r="E13" s="430"/>
      <c r="F13" s="430"/>
      <c r="G13" s="430"/>
      <c r="H13" s="430"/>
      <c r="I13" s="431">
        <f>F13+G13-H13</f>
        <v>0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v>2777</v>
      </c>
      <c r="G17" s="430"/>
      <c r="H17" s="430"/>
      <c r="I17" s="431">
        <f t="shared" si="0"/>
        <v>2777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0</v>
      </c>
      <c r="D18" s="437">
        <f t="shared" si="1"/>
        <v>0</v>
      </c>
      <c r="E18" s="437">
        <f t="shared" si="1"/>
        <v>0</v>
      </c>
      <c r="F18" s="437">
        <f t="shared" si="1"/>
        <v>2777</v>
      </c>
      <c r="G18" s="437">
        <f t="shared" si="1"/>
        <v>0</v>
      </c>
      <c r="H18" s="437">
        <f t="shared" si="1"/>
        <v>0</v>
      </c>
      <c r="I18" s="438">
        <f t="shared" si="0"/>
        <v>2777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1" t="s">
        <v>819</v>
      </c>
      <c r="B29" s="751"/>
      <c r="C29" s="751"/>
      <c r="D29" s="751"/>
      <c r="E29" s="751"/>
      <c r="F29" s="751"/>
      <c r="G29" s="751"/>
      <c r="H29" s="751"/>
      <c r="I29" s="751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44529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4"/>
      <c r="C35" s="744"/>
      <c r="D35" s="744"/>
      <c r="E35" s="744"/>
      <c r="F35" s="744"/>
      <c r="G35" s="744"/>
      <c r="H35" s="744"/>
      <c r="I35" s="744"/>
    </row>
    <row r="36" spans="1:9" s="107" customFormat="1">
      <c r="A36" s="650" t="s">
        <v>894</v>
      </c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DE3D9EAF-1767-451E-80FE-3028500A9C7F}" scale="9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1"/>
      <headerFooter alignWithMargins="0"/>
    </customSheetView>
    <customSheetView guid="{17A0B690-90B4-478F-B629-540D801E18FD}" fitToPage="1">
      <selection activeCell="B31" sqref="B31:F3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2"/>
      <headerFooter alignWithMargins="0"/>
    </customSheetView>
    <customSheetView guid="{07871067-5294-4FEE-88CE-4A4A5BC97EF0}" fitToPage="1">
      <selection activeCell="B31" sqref="B31:F3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3"/>
      <headerFooter alignWithMargins="0"/>
    </customSheetView>
    <customSheetView guid="{F2D4D9F9-DE61-45A3-92A2-4E78F2B34B7F}" showPageBreaks="1" fitToPage="1">
      <selection activeCell="B31" sqref="B31:F3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4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5"/>
  <sheetViews>
    <sheetView zoomScale="90" zoomScaleNormal="9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5" t="s">
        <v>453</v>
      </c>
      <c r="B8" s="747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04" t="s">
        <v>760</v>
      </c>
      <c r="H9" s="104"/>
      <c r="I9" s="750" t="s">
        <v>818</v>
      </c>
    </row>
    <row r="10" spans="1:22" s="103" customFormat="1" ht="24" customHeight="1">
      <c r="A10" s="746"/>
      <c r="B10" s="748"/>
      <c r="C10" s="749"/>
      <c r="D10" s="749"/>
      <c r="E10" s="749"/>
      <c r="F10" s="749"/>
      <c r="G10" s="670" t="s">
        <v>516</v>
      </c>
      <c r="H10" s="670" t="s">
        <v>517</v>
      </c>
      <c r="I10" s="750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1796</v>
      </c>
      <c r="D13" s="430"/>
      <c r="E13" s="430"/>
      <c r="F13" s="430">
        <v>23</v>
      </c>
      <c r="G13" s="430">
        <v>2</v>
      </c>
      <c r="H13" s="430"/>
      <c r="I13" s="431">
        <f>F13+G13-H13</f>
        <v>25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1796</v>
      </c>
      <c r="D18" s="437">
        <f t="shared" si="1"/>
        <v>0</v>
      </c>
      <c r="E18" s="437">
        <f t="shared" si="1"/>
        <v>0</v>
      </c>
      <c r="F18" s="437">
        <f t="shared" si="1"/>
        <v>23</v>
      </c>
      <c r="G18" s="437">
        <f t="shared" si="1"/>
        <v>2</v>
      </c>
      <c r="H18" s="437">
        <f t="shared" si="1"/>
        <v>0</v>
      </c>
      <c r="I18" s="438">
        <f t="shared" si="0"/>
        <v>25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1" t="s">
        <v>819</v>
      </c>
      <c r="B29" s="751"/>
      <c r="C29" s="751"/>
      <c r="D29" s="751"/>
      <c r="E29" s="751"/>
      <c r="F29" s="751"/>
      <c r="G29" s="751"/>
      <c r="H29" s="751"/>
      <c r="I29" s="751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44529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4"/>
      <c r="C35" s="744"/>
      <c r="D35" s="744"/>
      <c r="E35" s="744"/>
      <c r="F35" s="744"/>
      <c r="G35" s="744"/>
      <c r="H35" s="744"/>
      <c r="I35" s="744"/>
    </row>
    <row r="36" spans="1:9" s="107" customFormat="1">
      <c r="A36" s="650" t="s">
        <v>894</v>
      </c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DE3D9EAF-1767-451E-80FE-3028500A9C7F}" scale="9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1"/>
      <headerFooter alignWithMargins="0"/>
    </customSheetView>
    <customSheetView guid="{17A0B690-90B4-478F-B629-540D801E18FD}" fitToPage="1" topLeftCell="B1">
      <selection activeCell="K9" sqref="K9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2"/>
      <headerFooter alignWithMargins="0"/>
    </customSheetView>
    <customSheetView guid="{07871067-5294-4FEE-88CE-4A4A5BC97EF0}" fitToPage="1" topLeftCell="B1">
      <selection activeCell="K9" sqref="K9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3"/>
      <headerFooter alignWithMargins="0"/>
    </customSheetView>
    <customSheetView guid="{F2D4D9F9-DE61-45A3-92A2-4E78F2B34B7F}" showPageBreaks="1" fitToPage="1" topLeftCell="B1">
      <selection activeCell="K9" sqref="K9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4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J15"/>
  <sheetViews>
    <sheetView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19" t="s">
        <v>908</v>
      </c>
      <c r="B1" s="620"/>
      <c r="C1" s="620"/>
      <c r="D1" s="620"/>
      <c r="E1" s="620"/>
      <c r="F1" s="620"/>
      <c r="G1" s="620"/>
      <c r="H1" s="620"/>
      <c r="I1" s="620"/>
      <c r="J1" s="621"/>
    </row>
    <row r="2" spans="1:10" ht="15.75">
      <c r="A2" s="620" t="str">
        <f>CONCATENATE("на информацията, въведена в справките на ",UPPER(pdeName))</f>
        <v>на информацията, въведена в справките на СОФАРМА АД</v>
      </c>
      <c r="B2" s="620"/>
      <c r="C2" s="620"/>
      <c r="D2" s="620"/>
      <c r="E2" s="620"/>
      <c r="F2" s="620"/>
      <c r="G2" s="620"/>
      <c r="H2" s="620"/>
      <c r="I2" s="620"/>
      <c r="J2" s="621"/>
    </row>
    <row r="3" spans="1:10" ht="15.75">
      <c r="A3" s="620" t="str">
        <f>CONCATENATE("за периода от ",TEXT(startDate,"dd.mm.yyyy г.")," до ",TEXT(endDate,"dd.mm.yyyy г."))</f>
        <v>за периода от 01.01.2021 г. до 30.09.2021 г.</v>
      </c>
      <c r="B3" s="622"/>
      <c r="C3" s="622"/>
      <c r="D3" s="622"/>
      <c r="E3" s="622"/>
      <c r="F3" s="622"/>
      <c r="G3" s="622"/>
      <c r="H3" s="622"/>
      <c r="I3" s="622"/>
      <c r="J3" s="623"/>
    </row>
    <row r="5" spans="1:10" ht="25.5" customHeight="1">
      <c r="A5" s="626" t="s">
        <v>909</v>
      </c>
      <c r="B5" s="628" t="s">
        <v>911</v>
      </c>
      <c r="C5" s="629" t="s">
        <v>913</v>
      </c>
      <c r="D5" s="630" t="s">
        <v>915</v>
      </c>
      <c r="E5" s="629" t="s">
        <v>914</v>
      </c>
      <c r="F5" s="628" t="s">
        <v>912</v>
      </c>
      <c r="G5" s="627" t="s">
        <v>910</v>
      </c>
    </row>
    <row r="6" spans="1:10" ht="18.75" customHeight="1">
      <c r="A6" s="633" t="s">
        <v>956</v>
      </c>
      <c r="B6" s="624" t="s">
        <v>920</v>
      </c>
      <c r="C6" s="631">
        <f>'1-Баланс'!C95</f>
        <v>1230571</v>
      </c>
      <c r="D6" s="632">
        <f t="shared" ref="D6:D15" si="0">C6-E6</f>
        <v>0</v>
      </c>
      <c r="E6" s="631">
        <f>'1-Баланс'!G95</f>
        <v>1230571</v>
      </c>
      <c r="F6" s="625" t="s">
        <v>921</v>
      </c>
      <c r="G6" s="633" t="s">
        <v>956</v>
      </c>
    </row>
    <row r="7" spans="1:10" ht="18.75" customHeight="1">
      <c r="A7" s="633" t="s">
        <v>956</v>
      </c>
      <c r="B7" s="624" t="s">
        <v>919</v>
      </c>
      <c r="C7" s="631">
        <f>'1-Баланс'!G37</f>
        <v>601424</v>
      </c>
      <c r="D7" s="632">
        <f t="shared" si="0"/>
        <v>504361</v>
      </c>
      <c r="E7" s="631">
        <f>'1-Баланс'!G18</f>
        <v>97063</v>
      </c>
      <c r="F7" s="625" t="s">
        <v>455</v>
      </c>
      <c r="G7" s="633" t="s">
        <v>956</v>
      </c>
    </row>
    <row r="8" spans="1:10" ht="18.75" customHeight="1">
      <c r="A8" s="633" t="s">
        <v>956</v>
      </c>
      <c r="B8" s="624" t="s">
        <v>917</v>
      </c>
      <c r="C8" s="631">
        <f>ABS('1-Баланс'!G32)-ABS('1-Баланс'!G33)</f>
        <v>50528</v>
      </c>
      <c r="D8" s="632">
        <f t="shared" si="0"/>
        <v>0</v>
      </c>
      <c r="E8" s="631">
        <f>ABS('2-Отчет за доходите'!C44)-ABS('2-Отчет за доходите'!G44)</f>
        <v>50528</v>
      </c>
      <c r="F8" s="625" t="s">
        <v>918</v>
      </c>
      <c r="G8" s="634" t="s">
        <v>958</v>
      </c>
    </row>
    <row r="9" spans="1:10" ht="18.75" customHeight="1">
      <c r="A9" s="633" t="s">
        <v>956</v>
      </c>
      <c r="B9" s="624" t="s">
        <v>923</v>
      </c>
      <c r="C9" s="631">
        <f>'1-Баланс'!D92</f>
        <v>25293</v>
      </c>
      <c r="D9" s="632">
        <f t="shared" si="0"/>
        <v>154</v>
      </c>
      <c r="E9" s="631">
        <f>'3-Отчет за паричния поток'!C45</f>
        <v>25139</v>
      </c>
      <c r="F9" s="625" t="s">
        <v>922</v>
      </c>
      <c r="G9" s="634" t="s">
        <v>957</v>
      </c>
    </row>
    <row r="10" spans="1:10" ht="18.75" customHeight="1">
      <c r="A10" s="633" t="s">
        <v>956</v>
      </c>
      <c r="B10" s="624" t="s">
        <v>924</v>
      </c>
      <c r="C10" s="631">
        <f>'1-Баланс'!C92</f>
        <v>22192</v>
      </c>
      <c r="D10" s="632">
        <f t="shared" si="0"/>
        <v>6</v>
      </c>
      <c r="E10" s="631">
        <f>'3-Отчет за паричния поток'!C46</f>
        <v>22186</v>
      </c>
      <c r="F10" s="625" t="s">
        <v>925</v>
      </c>
      <c r="G10" s="634" t="s">
        <v>957</v>
      </c>
    </row>
    <row r="11" spans="1:10" ht="18.75" customHeight="1">
      <c r="A11" s="633" t="s">
        <v>956</v>
      </c>
      <c r="B11" s="624" t="s">
        <v>919</v>
      </c>
      <c r="C11" s="631">
        <f>'1-Баланс'!G37</f>
        <v>601424</v>
      </c>
      <c r="D11" s="632">
        <f t="shared" si="0"/>
        <v>0</v>
      </c>
      <c r="E11" s="631">
        <f>'4-Отчет за собствения капитал'!L34</f>
        <v>601424</v>
      </c>
      <c r="F11" s="625" t="s">
        <v>926</v>
      </c>
      <c r="G11" s="634" t="s">
        <v>959</v>
      </c>
    </row>
    <row r="12" spans="1:10" ht="18.75" customHeight="1">
      <c r="A12" s="633" t="s">
        <v>956</v>
      </c>
      <c r="B12" s="624" t="s">
        <v>927</v>
      </c>
      <c r="C12" s="631">
        <f>'1-Баланс'!C36</f>
        <v>0</v>
      </c>
      <c r="D12" s="632" t="e">
        <f t="shared" si="0"/>
        <v>#REF!</v>
      </c>
      <c r="E12" s="631" t="e">
        <f>#REF!+#REF!</f>
        <v>#REF!</v>
      </c>
      <c r="F12" s="625" t="s">
        <v>931</v>
      </c>
      <c r="G12" s="634" t="s">
        <v>960</v>
      </c>
    </row>
    <row r="13" spans="1:10" ht="18.75" customHeight="1">
      <c r="A13" s="633" t="s">
        <v>956</v>
      </c>
      <c r="B13" s="624" t="s">
        <v>928</v>
      </c>
      <c r="C13" s="631">
        <f>'1-Баланс'!C37</f>
        <v>2074</v>
      </c>
      <c r="D13" s="632" t="e">
        <f t="shared" si="0"/>
        <v>#REF!</v>
      </c>
      <c r="E13" s="631" t="e">
        <f>#REF!+#REF!</f>
        <v>#REF!</v>
      </c>
      <c r="F13" s="625" t="s">
        <v>932</v>
      </c>
      <c r="G13" s="634" t="s">
        <v>960</v>
      </c>
    </row>
    <row r="14" spans="1:10" ht="18.75" customHeight="1">
      <c r="A14" s="633" t="s">
        <v>956</v>
      </c>
      <c r="B14" s="624" t="s">
        <v>929</v>
      </c>
      <c r="C14" s="631">
        <f>'1-Баланс'!C38</f>
        <v>75311</v>
      </c>
      <c r="D14" s="632" t="e">
        <f t="shared" si="0"/>
        <v>#REF!</v>
      </c>
      <c r="E14" s="631" t="e">
        <f>#REF!+#REF!</f>
        <v>#REF!</v>
      </c>
      <c r="F14" s="625" t="s">
        <v>933</v>
      </c>
      <c r="G14" s="634" t="s">
        <v>960</v>
      </c>
    </row>
    <row r="15" spans="1:10" ht="18.75" customHeight="1">
      <c r="A15" s="633" t="s">
        <v>956</v>
      </c>
      <c r="B15" s="624" t="s">
        <v>930</v>
      </c>
      <c r="C15" s="631">
        <f>'1-Баланс'!C39</f>
        <v>14745</v>
      </c>
      <c r="D15" s="632" t="e">
        <f t="shared" si="0"/>
        <v>#REF!</v>
      </c>
      <c r="E15" s="631" t="e">
        <f>#REF!+#REF!</f>
        <v>#REF!</v>
      </c>
      <c r="F15" s="625" t="s">
        <v>934</v>
      </c>
      <c r="G15" s="634" t="s">
        <v>960</v>
      </c>
    </row>
  </sheetData>
  <sheetProtection insertRows="0"/>
  <customSheetViews>
    <customSheetView guid="{DE3D9EAF-1767-451E-80FE-3028500A9C7F}" fitToPage="1" state="hidden">
      <pageMargins left="0.70866141732283472" right="0.70866141732283472" top="1.37" bottom="1.32" header="0.31496062992125984" footer="0.31496062992125984"/>
      <pageSetup paperSize="9" scale="67" orientation="landscape" r:id="rId1"/>
    </customSheetView>
    <customSheetView guid="{17A0B690-90B4-478F-B629-540D801E18FD}" fitToPage="1" state="hidden">
      <pageMargins left="0.70866141732283472" right="0.70866141732283472" top="1.37" bottom="1.32" header="0.31496062992125984" footer="0.31496062992125984"/>
      <pageSetup paperSize="9" scale="67" orientation="landscape" r:id="rId2"/>
    </customSheetView>
    <customSheetView guid="{07871067-5294-4FEE-88CE-4A4A5BC97EF0}" fitToPage="1" state="hidden">
      <pageMargins left="0.70866141732283472" right="0.70866141732283472" top="1.37" bottom="1.32" header="0.31496062992125984" footer="0.31496062992125984"/>
      <pageSetup paperSize="9" scale="67" orientation="landscape" r:id="rId3"/>
    </customSheetView>
    <customSheetView guid="{F2D4D9F9-DE61-45A3-92A2-4E78F2B34B7F}" fitToPage="1" state="hidden">
      <pageMargins left="0.70866141732283472" right="0.70866141732283472" top="1.37" bottom="1.32" header="0.31496062992125984" footer="0.31496062992125984"/>
      <pageSetup paperSize="9" scale="67" orientation="landscape" r:id="rId4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  <pageSetUpPr fitToPage="1"/>
  </sheetPr>
  <dimension ref="A1:E24"/>
  <sheetViews>
    <sheetView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47" t="s">
        <v>861</v>
      </c>
      <c r="B1" s="547" t="s">
        <v>856</v>
      </c>
      <c r="C1" s="547" t="s">
        <v>860</v>
      </c>
      <c r="D1" s="547" t="s">
        <v>857</v>
      </c>
    </row>
    <row r="2" spans="1:5" ht="24" customHeight="1">
      <c r="A2" s="602" t="s">
        <v>855</v>
      </c>
      <c r="B2" s="600"/>
      <c r="C2" s="600"/>
      <c r="D2" s="601"/>
    </row>
    <row r="3" spans="1:5" ht="31.5">
      <c r="A3" s="550">
        <v>1</v>
      </c>
      <c r="B3" s="548" t="s">
        <v>859</v>
      </c>
      <c r="C3" s="549" t="s">
        <v>858</v>
      </c>
      <c r="D3" s="599">
        <f>(ABS('1-Баланс'!G32)-ABS('1-Баланс'!G33))/'2-Отчет за доходите'!G16</f>
        <v>4.2520855230659314E-2</v>
      </c>
      <c r="E3" s="603"/>
    </row>
    <row r="4" spans="1:5" ht="31.5">
      <c r="A4" s="550">
        <v>2</v>
      </c>
      <c r="B4" s="548" t="s">
        <v>885</v>
      </c>
      <c r="C4" s="549" t="s">
        <v>862</v>
      </c>
      <c r="D4" s="599">
        <f>(ABS('1-Баланс'!G32)-ABS('1-Баланс'!G33))/'1-Баланс'!G37</f>
        <v>8.4013940248476943E-2</v>
      </c>
    </row>
    <row r="5" spans="1:5" ht="31.5">
      <c r="A5" s="550">
        <v>3</v>
      </c>
      <c r="B5" s="548" t="s">
        <v>863</v>
      </c>
      <c r="C5" s="549" t="s">
        <v>864</v>
      </c>
      <c r="D5" s="599">
        <f>(ABS('1-Баланс'!G32)-ABS('1-Баланс'!G33))/('1-Баланс'!G56+'1-Баланс'!G79)</f>
        <v>8.2126498993898372E-2</v>
      </c>
    </row>
    <row r="6" spans="1:5" ht="31.5">
      <c r="A6" s="550">
        <v>4</v>
      </c>
      <c r="B6" s="548" t="s">
        <v>886</v>
      </c>
      <c r="C6" s="549" t="s">
        <v>865</v>
      </c>
      <c r="D6" s="599">
        <f>(ABS('1-Баланс'!G32)-ABS('1-Баланс'!G33))/('1-Баланс'!C95)</f>
        <v>4.1060613325033662E-2</v>
      </c>
    </row>
    <row r="7" spans="1:5" ht="24" customHeight="1">
      <c r="A7" s="602" t="s">
        <v>866</v>
      </c>
      <c r="B7" s="600"/>
      <c r="C7" s="600"/>
      <c r="D7" s="601"/>
    </row>
    <row r="8" spans="1:5" ht="31.5">
      <c r="A8" s="550">
        <v>5</v>
      </c>
      <c r="B8" s="548" t="s">
        <v>867</v>
      </c>
      <c r="C8" s="549" t="s">
        <v>868</v>
      </c>
      <c r="D8" s="598">
        <f>'2-Отчет за доходите'!G36/'2-Отчет за доходите'!C36</f>
        <v>1.0518063117626066</v>
      </c>
    </row>
    <row r="9" spans="1:5" ht="24" customHeight="1">
      <c r="A9" s="602" t="s">
        <v>869</v>
      </c>
      <c r="B9" s="600"/>
      <c r="C9" s="600"/>
      <c r="D9" s="601"/>
    </row>
    <row r="10" spans="1:5" ht="31.5">
      <c r="A10" s="550">
        <v>6</v>
      </c>
      <c r="B10" s="548" t="s">
        <v>870</v>
      </c>
      <c r="C10" s="549" t="s">
        <v>871</v>
      </c>
      <c r="D10" s="598">
        <f>'1-Баланс'!C94/'1-Баланс'!G79</f>
        <v>1.2576274835143186</v>
      </c>
    </row>
    <row r="11" spans="1:5" ht="63">
      <c r="A11" s="550">
        <v>7</v>
      </c>
      <c r="B11" s="548" t="s">
        <v>872</v>
      </c>
      <c r="C11" s="549" t="s">
        <v>939</v>
      </c>
      <c r="D11" s="598">
        <f>('1-Баланс'!C76+'1-Баланс'!C85+'1-Баланс'!C92)/'1-Баланс'!G79</f>
        <v>0.69665940288019623</v>
      </c>
    </row>
    <row r="12" spans="1:5" ht="47.25">
      <c r="A12" s="550">
        <v>8</v>
      </c>
      <c r="B12" s="548" t="s">
        <v>873</v>
      </c>
      <c r="C12" s="549" t="s">
        <v>940</v>
      </c>
      <c r="D12" s="598">
        <f>('1-Баланс'!C85+'1-Баланс'!C92)/'1-Баланс'!G79</f>
        <v>4.50693241429172E-2</v>
      </c>
    </row>
    <row r="13" spans="1:5" ht="31.5">
      <c r="A13" s="550">
        <v>9</v>
      </c>
      <c r="B13" s="548" t="s">
        <v>874</v>
      </c>
      <c r="C13" s="549" t="s">
        <v>875</v>
      </c>
      <c r="D13" s="598">
        <f>'1-Баланс'!C92/'1-Баланс'!G79</f>
        <v>4.50693241429172E-2</v>
      </c>
    </row>
    <row r="14" spans="1:5" ht="24" customHeight="1">
      <c r="A14" s="602" t="s">
        <v>876</v>
      </c>
      <c r="B14" s="600"/>
      <c r="C14" s="600"/>
      <c r="D14" s="601"/>
    </row>
    <row r="15" spans="1:5" ht="31.5">
      <c r="A15" s="550">
        <v>10</v>
      </c>
      <c r="B15" s="548" t="s">
        <v>890</v>
      </c>
      <c r="C15" s="549" t="s">
        <v>877</v>
      </c>
      <c r="D15" s="598">
        <f>'2-Отчет за доходите'!G16/('1-Баланс'!C20+'1-Баланс'!C21+'1-Баланс'!C22+'1-Баланс'!C28+'1-Баланс'!C65)</f>
        <v>1.6578739564266263</v>
      </c>
    </row>
    <row r="16" spans="1:5" ht="31.5">
      <c r="A16" s="605">
        <v>11</v>
      </c>
      <c r="B16" s="548" t="s">
        <v>876</v>
      </c>
      <c r="C16" s="549" t="s">
        <v>889</v>
      </c>
      <c r="D16" s="606">
        <f>'2-Отчет за доходите'!G16/('1-Баланс'!C95)</f>
        <v>0.96565821882686975</v>
      </c>
    </row>
    <row r="17" spans="1:5" ht="24" customHeight="1">
      <c r="A17" s="602" t="s">
        <v>879</v>
      </c>
      <c r="B17" s="600"/>
      <c r="C17" s="600"/>
      <c r="D17" s="601"/>
    </row>
    <row r="18" spans="1:5" ht="31.5">
      <c r="A18" s="550">
        <v>12</v>
      </c>
      <c r="B18" s="548" t="s">
        <v>906</v>
      </c>
      <c r="C18" s="549" t="s">
        <v>878</v>
      </c>
      <c r="D18" s="598">
        <f>'1-Баланс'!G56/('1-Баланс'!G37+'1-Баланс'!G56)</f>
        <v>0.16961698144208054</v>
      </c>
    </row>
    <row r="19" spans="1:5" ht="31.5">
      <c r="A19" s="550">
        <v>13</v>
      </c>
      <c r="B19" s="548" t="s">
        <v>907</v>
      </c>
      <c r="C19" s="549" t="s">
        <v>880</v>
      </c>
      <c r="D19" s="598">
        <f>D4/D5</f>
        <v>1.0229821224294342</v>
      </c>
    </row>
    <row r="20" spans="1:5" ht="31.5">
      <c r="A20" s="550">
        <v>14</v>
      </c>
      <c r="B20" s="548" t="s">
        <v>881</v>
      </c>
      <c r="C20" s="549" t="s">
        <v>882</v>
      </c>
      <c r="D20" s="598">
        <f>D6/D5</f>
        <v>0.49996790108006772</v>
      </c>
    </row>
    <row r="21" spans="1:5" ht="15.75">
      <c r="A21" s="550">
        <v>15</v>
      </c>
      <c r="B21" s="548" t="s">
        <v>883</v>
      </c>
      <c r="C21" s="549" t="s">
        <v>884</v>
      </c>
      <c r="D21" s="635">
        <f>'2-Отчет за доходите'!C37+'2-Отчет за доходите'!C25</f>
        <v>67527</v>
      </c>
      <c r="E21" s="653"/>
    </row>
    <row r="22" spans="1:5" ht="47.25">
      <c r="A22" s="550">
        <v>16</v>
      </c>
      <c r="B22" s="548" t="s">
        <v>887</v>
      </c>
      <c r="C22" s="549" t="s">
        <v>888</v>
      </c>
      <c r="D22" s="604">
        <f>D21/'1-Баланс'!G37</f>
        <v>0.11227852563249886</v>
      </c>
    </row>
    <row r="23" spans="1:5" ht="31.5">
      <c r="A23" s="550">
        <v>17</v>
      </c>
      <c r="B23" s="548" t="s">
        <v>952</v>
      </c>
      <c r="C23" s="549" t="s">
        <v>953</v>
      </c>
      <c r="D23" s="604">
        <f>(D21+'2-Отчет за доходите'!C14)/'2-Отчет за доходите'!G31</f>
        <v>9.0330765412123773E-2</v>
      </c>
    </row>
    <row r="24" spans="1:5" ht="31.5">
      <c r="A24" s="550">
        <v>18</v>
      </c>
      <c r="B24" s="548" t="s">
        <v>954</v>
      </c>
      <c r="C24" s="549" t="s">
        <v>955</v>
      </c>
      <c r="D24" s="604">
        <f>('1-Баланс'!G56+'1-Баланс'!G79)/(D21+'2-Отчет за доходите'!C14)</f>
        <v>5.6921895527635398</v>
      </c>
    </row>
  </sheetData>
  <sheetProtection password="D554" sheet="1" objects="1" scenarios="1" insertRows="0"/>
  <customSheetViews>
    <customSheetView guid="{DE3D9EAF-1767-451E-80FE-3028500A9C7F}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1"/>
    </customSheetView>
    <customSheetView guid="{17A0B690-90B4-478F-B629-540D801E18FD}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2"/>
    </customSheetView>
    <customSheetView guid="{07871067-5294-4FEE-88CE-4A4A5BC97EF0}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3"/>
    </customSheetView>
    <customSheetView guid="{F2D4D9F9-DE61-45A3-92A2-4E78F2B34B7F}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4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0000"/>
  </sheetPr>
  <dimension ref="A1:N1294"/>
  <sheetViews>
    <sheetView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3" customFormat="1">
      <c r="C2" s="538"/>
      <c r="F2" s="477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39">
        <f t="shared" ref="C3:C34" si="2">endDate</f>
        <v>44469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59042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39">
        <f t="shared" si="2"/>
        <v>44469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179149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39">
        <f t="shared" si="2"/>
        <v>44469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97701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39">
        <f t="shared" si="2"/>
        <v>44469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12845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39">
        <f t="shared" si="2"/>
        <v>44469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10662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39">
        <f t="shared" si="2"/>
        <v>44469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10546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39">
        <f t="shared" si="2"/>
        <v>44469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7061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39">
        <f t="shared" si="2"/>
        <v>44469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243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39">
        <f t="shared" si="2"/>
        <v>44469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377249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39">
        <f t="shared" si="2"/>
        <v>44469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10132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39">
        <f t="shared" si="2"/>
        <v>44469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294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39">
        <f t="shared" si="2"/>
        <v>44469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33038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39">
        <f t="shared" si="2"/>
        <v>44469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13280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39">
        <f t="shared" si="2"/>
        <v>44469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39">
        <f t="shared" si="2"/>
        <v>44469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8505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39">
        <f t="shared" si="2"/>
        <v>44469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54823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39">
        <f t="shared" si="2"/>
        <v>44469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13417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39">
        <f t="shared" si="2"/>
        <v>44469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39">
        <f t="shared" si="2"/>
        <v>44469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13417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39">
        <f t="shared" si="2"/>
        <v>44469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92130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39">
        <f t="shared" si="2"/>
        <v>44469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39">
        <f t="shared" si="2"/>
        <v>44469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2074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39">
        <f t="shared" si="2"/>
        <v>44469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75311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39">
        <f t="shared" si="2"/>
        <v>44469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14745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39">
        <f t="shared" si="2"/>
        <v>44469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39">
        <f t="shared" si="2"/>
        <v>44469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39">
        <f t="shared" si="2"/>
        <v>44469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39">
        <f t="shared" si="2"/>
        <v>44469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39">
        <f t="shared" si="2"/>
        <v>44469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39">
        <f t="shared" si="2"/>
        <v>44469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39">
        <f t="shared" si="2"/>
        <v>44469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92130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39">
        <f t="shared" si="2"/>
        <v>44469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51277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39">
        <f t="shared" ref="C35:C66" si="5">endDate</f>
        <v>44469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7770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39">
        <f t="shared" si="5"/>
        <v>44469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39">
        <f t="shared" si="5"/>
        <v>44469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4045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39">
        <f t="shared" si="5"/>
        <v>44469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63092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39">
        <f t="shared" si="5"/>
        <v>44469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39">
        <f t="shared" si="5"/>
        <v>44469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182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39">
        <f t="shared" si="5"/>
        <v>44469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611319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39">
        <f t="shared" si="5"/>
        <v>44469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34687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39">
        <f t="shared" si="5"/>
        <v>44469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32309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39">
        <f t="shared" si="5"/>
        <v>44469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201844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39">
        <f t="shared" si="5"/>
        <v>44469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5430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39">
        <f t="shared" si="5"/>
        <v>44469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39">
        <f t="shared" si="5"/>
        <v>44469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39">
        <f t="shared" si="5"/>
        <v>44469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274270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39">
        <f t="shared" si="5"/>
        <v>44469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9274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39">
        <f t="shared" si="5"/>
        <v>44469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246920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39">
        <f t="shared" si="5"/>
        <v>44469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26390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39">
        <f t="shared" si="5"/>
        <v>44469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1507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39">
        <f t="shared" si="5"/>
        <v>44469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15432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39">
        <f t="shared" si="5"/>
        <v>44469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16448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39">
        <f t="shared" si="5"/>
        <v>44469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39">
        <f t="shared" si="5"/>
        <v>44469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4870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39">
        <f t="shared" si="5"/>
        <v>44469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320841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39">
        <f t="shared" si="5"/>
        <v>44469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39">
        <f t="shared" si="5"/>
        <v>44469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39">
        <f t="shared" si="5"/>
        <v>44469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39">
        <f t="shared" si="5"/>
        <v>44469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39">
        <f t="shared" si="5"/>
        <v>44469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39">
        <f t="shared" si="5"/>
        <v>44469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39">
        <f t="shared" si="5"/>
        <v>44469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39">
        <f t="shared" si="5"/>
        <v>44469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2756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39">
        <f t="shared" si="5"/>
        <v>44469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19430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39">
        <f t="shared" ref="C67:C98" si="8">endDate</f>
        <v>44469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6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39">
        <f t="shared" si="8"/>
        <v>44469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39">
        <f t="shared" si="8"/>
        <v>44469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22192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39">
        <f t="shared" si="8"/>
        <v>44469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1949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39">
        <f t="shared" si="8"/>
        <v>44469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619252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39">
        <f t="shared" si="8"/>
        <v>44469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1230571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39">
        <f t="shared" si="8"/>
        <v>44469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39">
        <f t="shared" si="8"/>
        <v>44469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39">
        <f t="shared" si="8"/>
        <v>44469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39">
        <f t="shared" si="8"/>
        <v>44469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-37735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39">
        <f t="shared" si="8"/>
        <v>44469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39">
        <f t="shared" si="8"/>
        <v>44469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39">
        <f t="shared" si="8"/>
        <v>44469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97063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39">
        <f t="shared" si="8"/>
        <v>44469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39">
        <f t="shared" si="8"/>
        <v>44469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27978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39">
        <f t="shared" si="8"/>
        <v>44469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66201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39">
        <f t="shared" si="8"/>
        <v>44469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66201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39">
        <f t="shared" si="8"/>
        <v>44469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39">
        <f t="shared" si="8"/>
        <v>44469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39">
        <f t="shared" si="8"/>
        <v>44469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94179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39">
        <f t="shared" si="8"/>
        <v>44469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359654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39">
        <f t="shared" si="8"/>
        <v>44469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359654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39">
        <f t="shared" si="8"/>
        <v>44469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39">
        <f t="shared" si="8"/>
        <v>44469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39">
        <f t="shared" si="8"/>
        <v>44469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50528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39">
        <f t="shared" si="8"/>
        <v>44469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39">
        <f t="shared" si="8"/>
        <v>44469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410182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39">
        <f t="shared" si="8"/>
        <v>44469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601424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39">
        <f t="shared" si="8"/>
        <v>44469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13901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39">
        <f t="shared" si="8"/>
        <v>44469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8882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39">
        <f t="shared" si="8"/>
        <v>44469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34797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39">
        <f t="shared" si="8"/>
        <v>44469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39">
        <f t="shared" ref="C99:C125" si="11">endDate</f>
        <v>44469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39">
        <f t="shared" si="11"/>
        <v>44469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39">
        <f t="shared" si="11"/>
        <v>44469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57787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39">
        <f t="shared" si="11"/>
        <v>44469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101466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39">
        <f t="shared" si="11"/>
        <v>44469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7453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39">
        <f t="shared" si="11"/>
        <v>44469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39">
        <f t="shared" si="11"/>
        <v>44469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6184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39">
        <f t="shared" si="11"/>
        <v>44469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7746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39">
        <f t="shared" si="11"/>
        <v>44469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122849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39">
        <f t="shared" si="11"/>
        <v>44469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187948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39">
        <f t="shared" si="11"/>
        <v>44469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25690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39">
        <f t="shared" si="11"/>
        <v>44469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217527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39">
        <f t="shared" si="11"/>
        <v>44469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2610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39">
        <f t="shared" si="11"/>
        <v>44469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39">
        <f t="shared" si="11"/>
        <v>44469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187987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39">
        <f t="shared" si="11"/>
        <v>44469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648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39">
        <f t="shared" si="11"/>
        <v>44469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15075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39">
        <f t="shared" si="11"/>
        <v>44469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3201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39">
        <f t="shared" si="11"/>
        <v>44469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8006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39">
        <f t="shared" si="11"/>
        <v>44469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61232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39">
        <f t="shared" si="11"/>
        <v>44469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39">
        <f t="shared" si="11"/>
        <v>44469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492397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39">
        <f t="shared" si="11"/>
        <v>44469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39">
        <f t="shared" si="11"/>
        <v>44469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39">
        <f t="shared" si="11"/>
        <v>44469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39">
        <f t="shared" si="11"/>
        <v>44469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492397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39">
        <f t="shared" si="11"/>
        <v>44469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1230571</v>
      </c>
    </row>
    <row r="126" spans="1:8" s="473" customFormat="1">
      <c r="C126" s="538"/>
      <c r="F126" s="477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39">
        <f t="shared" ref="C127:C158" si="14">endDate</f>
        <v>44469</v>
      </c>
      <c r="D127" s="99" t="s">
        <v>276</v>
      </c>
      <c r="E127" s="99">
        <v>1</v>
      </c>
      <c r="F127" s="99" t="s">
        <v>275</v>
      </c>
      <c r="G127" s="99" t="s">
        <v>828</v>
      </c>
      <c r="H127" s="474">
        <f>'2-Отчет за доходите'!C12</f>
        <v>57444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39">
        <f t="shared" si="14"/>
        <v>44469</v>
      </c>
      <c r="D128" s="99" t="s">
        <v>280</v>
      </c>
      <c r="E128" s="99">
        <v>1</v>
      </c>
      <c r="F128" s="99" t="s">
        <v>279</v>
      </c>
      <c r="G128" s="99" t="s">
        <v>828</v>
      </c>
      <c r="H128" s="474">
        <f>'2-Отчет за доходите'!C13</f>
        <v>50823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39">
        <f t="shared" si="14"/>
        <v>44469</v>
      </c>
      <c r="D129" s="99" t="s">
        <v>284</v>
      </c>
      <c r="E129" s="99">
        <v>1</v>
      </c>
      <c r="F129" s="99" t="s">
        <v>283</v>
      </c>
      <c r="G129" s="99" t="s">
        <v>828</v>
      </c>
      <c r="H129" s="474">
        <f>'2-Отчет за доходите'!C14</f>
        <v>40559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39">
        <f t="shared" si="14"/>
        <v>44469</v>
      </c>
      <c r="D130" s="99" t="s">
        <v>288</v>
      </c>
      <c r="E130" s="99">
        <v>1</v>
      </c>
      <c r="F130" s="99" t="s">
        <v>287</v>
      </c>
      <c r="G130" s="99" t="s">
        <v>828</v>
      </c>
      <c r="H130" s="474">
        <f>'2-Отчет за доходите'!C15</f>
        <v>94745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39">
        <f t="shared" si="14"/>
        <v>44469</v>
      </c>
      <c r="D131" s="99" t="s">
        <v>291</v>
      </c>
      <c r="E131" s="99">
        <v>1</v>
      </c>
      <c r="F131" s="99" t="s">
        <v>290</v>
      </c>
      <c r="G131" s="99" t="s">
        <v>828</v>
      </c>
      <c r="H131" s="474">
        <f>'2-Отчет за доходите'!C16</f>
        <v>16464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39">
        <f t="shared" si="14"/>
        <v>44469</v>
      </c>
      <c r="D132" s="99" t="s">
        <v>294</v>
      </c>
      <c r="E132" s="99">
        <v>1</v>
      </c>
      <c r="F132" s="99" t="s">
        <v>293</v>
      </c>
      <c r="G132" s="99" t="s">
        <v>828</v>
      </c>
      <c r="H132" s="474">
        <f>'2-Отчет за доходите'!C17</f>
        <v>864214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39">
        <f t="shared" si="14"/>
        <v>44469</v>
      </c>
      <c r="D133" s="99" t="s">
        <v>296</v>
      </c>
      <c r="E133" s="99">
        <v>1</v>
      </c>
      <c r="F133" s="99" t="s">
        <v>295</v>
      </c>
      <c r="G133" s="99" t="s">
        <v>828</v>
      </c>
      <c r="H133" s="474">
        <f>'2-Отчет за доходите'!C18</f>
        <v>4494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39">
        <f t="shared" si="14"/>
        <v>44469</v>
      </c>
      <c r="D134" s="99" t="s">
        <v>300</v>
      </c>
      <c r="E134" s="99">
        <v>1</v>
      </c>
      <c r="F134" s="99" t="s">
        <v>299</v>
      </c>
      <c r="G134" s="99" t="s">
        <v>828</v>
      </c>
      <c r="H134" s="474">
        <f>'2-Отчет за доходите'!C19</f>
        <v>7085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39">
        <f t="shared" si="14"/>
        <v>44469</v>
      </c>
      <c r="D135" s="99" t="s">
        <v>304</v>
      </c>
      <c r="E135" s="99">
        <v>1</v>
      </c>
      <c r="F135" s="99" t="s">
        <v>303</v>
      </c>
      <c r="G135" s="99" t="s">
        <v>828</v>
      </c>
      <c r="H135" s="474">
        <f>'2-Отчет за доходите'!C20</f>
        <v>1917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39">
        <f t="shared" si="14"/>
        <v>44469</v>
      </c>
      <c r="D136" s="99" t="s">
        <v>306</v>
      </c>
      <c r="E136" s="99">
        <v>1</v>
      </c>
      <c r="F136" s="99" t="s">
        <v>305</v>
      </c>
      <c r="G136" s="99" t="s">
        <v>828</v>
      </c>
      <c r="H136" s="474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39">
        <f t="shared" si="14"/>
        <v>44469</v>
      </c>
      <c r="D137" s="99" t="s">
        <v>308</v>
      </c>
      <c r="E137" s="99">
        <v>1</v>
      </c>
      <c r="F137" s="99" t="s">
        <v>273</v>
      </c>
      <c r="G137" s="99" t="s">
        <v>828</v>
      </c>
      <c r="H137" s="474">
        <f>'2-Отчет за доходите'!C22</f>
        <v>1135828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39">
        <f t="shared" si="14"/>
        <v>44469</v>
      </c>
      <c r="D138" s="99" t="s">
        <v>317</v>
      </c>
      <c r="E138" s="99">
        <v>1</v>
      </c>
      <c r="F138" s="99" t="s">
        <v>316</v>
      </c>
      <c r="G138" s="99" t="s">
        <v>828</v>
      </c>
      <c r="H138" s="474">
        <f>'2-Отчет за доходите'!C25</f>
        <v>8591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39">
        <f t="shared" si="14"/>
        <v>44469</v>
      </c>
      <c r="D139" s="99" t="s">
        <v>321</v>
      </c>
      <c r="E139" s="99">
        <v>1</v>
      </c>
      <c r="F139" s="99" t="s">
        <v>320</v>
      </c>
      <c r="G139" s="99" t="s">
        <v>828</v>
      </c>
      <c r="H139" s="474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39">
        <f t="shared" si="14"/>
        <v>44469</v>
      </c>
      <c r="D140" s="99" t="s">
        <v>325</v>
      </c>
      <c r="E140" s="99">
        <v>1</v>
      </c>
      <c r="F140" s="99" t="s">
        <v>324</v>
      </c>
      <c r="G140" s="99" t="s">
        <v>828</v>
      </c>
      <c r="H140" s="474">
        <f>'2-Отчет за доходите'!C27</f>
        <v>0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39">
        <f t="shared" si="14"/>
        <v>44469</v>
      </c>
      <c r="D141" s="99" t="s">
        <v>327</v>
      </c>
      <c r="E141" s="99">
        <v>1</v>
      </c>
      <c r="F141" s="99" t="s">
        <v>79</v>
      </c>
      <c r="G141" s="99" t="s">
        <v>828</v>
      </c>
      <c r="H141" s="474">
        <f>'2-Отчет за доходите'!C28</f>
        <v>1040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39">
        <f t="shared" si="14"/>
        <v>44469</v>
      </c>
      <c r="D142" s="99" t="s">
        <v>328</v>
      </c>
      <c r="E142" s="99">
        <v>1</v>
      </c>
      <c r="F142" s="99" t="s">
        <v>313</v>
      </c>
      <c r="G142" s="99" t="s">
        <v>828</v>
      </c>
      <c r="H142" s="474">
        <f>'2-Отчет за доходите'!C29</f>
        <v>9631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39">
        <f t="shared" si="14"/>
        <v>44469</v>
      </c>
      <c r="D143" s="99" t="s">
        <v>330</v>
      </c>
      <c r="E143" s="99">
        <v>1</v>
      </c>
      <c r="F143" s="99" t="s">
        <v>329</v>
      </c>
      <c r="G143" s="99" t="s">
        <v>828</v>
      </c>
      <c r="H143" s="474">
        <f>'2-Отчет за доходите'!C31</f>
        <v>1145459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39">
        <f t="shared" si="14"/>
        <v>44469</v>
      </c>
      <c r="D144" s="99" t="s">
        <v>333</v>
      </c>
      <c r="E144" s="99">
        <v>1</v>
      </c>
      <c r="F144" s="99" t="s">
        <v>332</v>
      </c>
      <c r="G144" s="99" t="s">
        <v>828</v>
      </c>
      <c r="H144" s="474">
        <f>'2-Отчет за доходите'!C33</f>
        <v>51099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39">
        <f t="shared" si="14"/>
        <v>44469</v>
      </c>
      <c r="D145" s="99" t="s">
        <v>337</v>
      </c>
      <c r="E145" s="99">
        <v>1</v>
      </c>
      <c r="F145" s="99" t="s">
        <v>336</v>
      </c>
      <c r="G145" s="99" t="s">
        <v>828</v>
      </c>
      <c r="H145" s="474">
        <f>'2-Отчет за доходите'!C34</f>
        <v>7837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39">
        <f t="shared" si="14"/>
        <v>44469</v>
      </c>
      <c r="D146" s="99" t="s">
        <v>341</v>
      </c>
      <c r="E146" s="99">
        <v>1</v>
      </c>
      <c r="F146" s="99" t="s">
        <v>340</v>
      </c>
      <c r="G146" s="99" t="s">
        <v>828</v>
      </c>
      <c r="H146" s="474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39">
        <f t="shared" si="14"/>
        <v>44469</v>
      </c>
      <c r="D147" s="99" t="s">
        <v>345</v>
      </c>
      <c r="E147" s="99">
        <v>1</v>
      </c>
      <c r="F147" s="99" t="s">
        <v>344</v>
      </c>
      <c r="G147" s="99" t="s">
        <v>828</v>
      </c>
      <c r="H147" s="474">
        <f>'2-Отчет за доходите'!C36</f>
        <v>1137622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39">
        <f t="shared" si="14"/>
        <v>44469</v>
      </c>
      <c r="D148" s="99" t="s">
        <v>349</v>
      </c>
      <c r="E148" s="99">
        <v>1</v>
      </c>
      <c r="F148" s="99" t="s">
        <v>348</v>
      </c>
      <c r="G148" s="99" t="s">
        <v>828</v>
      </c>
      <c r="H148" s="474">
        <f>'2-Отчет за доходите'!C37</f>
        <v>58936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39">
        <f t="shared" si="14"/>
        <v>44469</v>
      </c>
      <c r="D149" s="99" t="s">
        <v>353</v>
      </c>
      <c r="E149" s="99">
        <v>1</v>
      </c>
      <c r="F149" s="99" t="s">
        <v>352</v>
      </c>
      <c r="G149" s="99" t="s">
        <v>828</v>
      </c>
      <c r="H149" s="474">
        <f>'2-Отчет за доходите'!C38</f>
        <v>5439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39">
        <f t="shared" si="14"/>
        <v>44469</v>
      </c>
      <c r="D150" s="99" t="s">
        <v>355</v>
      </c>
      <c r="E150" s="99">
        <v>1</v>
      </c>
      <c r="F150" s="99" t="s">
        <v>354</v>
      </c>
      <c r="G150" s="99" t="s">
        <v>828</v>
      </c>
      <c r="H150" s="474">
        <f>'2-Отчет за доходите'!C39</f>
        <v>5439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39">
        <f t="shared" si="14"/>
        <v>44469</v>
      </c>
      <c r="D151" s="99" t="s">
        <v>357</v>
      </c>
      <c r="E151" s="99">
        <v>1</v>
      </c>
      <c r="F151" s="99" t="s">
        <v>356</v>
      </c>
      <c r="G151" s="99" t="s">
        <v>828</v>
      </c>
      <c r="H151" s="474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39">
        <f t="shared" si="14"/>
        <v>44469</v>
      </c>
      <c r="D152" s="99" t="s">
        <v>359</v>
      </c>
      <c r="E152" s="99">
        <v>1</v>
      </c>
      <c r="F152" s="99" t="s">
        <v>358</v>
      </c>
      <c r="G152" s="99" t="s">
        <v>828</v>
      </c>
      <c r="H152" s="474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39">
        <f t="shared" si="14"/>
        <v>44469</v>
      </c>
      <c r="D153" s="99" t="s">
        <v>361</v>
      </c>
      <c r="E153" s="99">
        <v>1</v>
      </c>
      <c r="F153" s="99" t="s">
        <v>360</v>
      </c>
      <c r="G153" s="99" t="s">
        <v>828</v>
      </c>
      <c r="H153" s="474">
        <f>'2-Отчет за доходите'!C42</f>
        <v>53497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39">
        <f t="shared" si="14"/>
        <v>44469</v>
      </c>
      <c r="D154" s="99" t="s">
        <v>365</v>
      </c>
      <c r="E154" s="99">
        <v>1</v>
      </c>
      <c r="F154" s="99" t="s">
        <v>364</v>
      </c>
      <c r="G154" s="99" t="s">
        <v>828</v>
      </c>
      <c r="H154" s="474">
        <f>'2-Отчет за доходите'!C43</f>
        <v>2969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39">
        <f t="shared" si="14"/>
        <v>44469</v>
      </c>
      <c r="D155" s="99" t="s">
        <v>368</v>
      </c>
      <c r="E155" s="99">
        <v>1</v>
      </c>
      <c r="F155" s="99" t="s">
        <v>367</v>
      </c>
      <c r="G155" s="99" t="s">
        <v>828</v>
      </c>
      <c r="H155" s="474">
        <f>'2-Отчет за доходите'!C44</f>
        <v>50528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39">
        <f t="shared" si="14"/>
        <v>44469</v>
      </c>
      <c r="D156" s="99" t="s">
        <v>372</v>
      </c>
      <c r="E156" s="99">
        <v>1</v>
      </c>
      <c r="F156" s="99" t="s">
        <v>371</v>
      </c>
      <c r="G156" s="99" t="s">
        <v>828</v>
      </c>
      <c r="H156" s="474">
        <f>'2-Отчет за доходите'!C45</f>
        <v>1196558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39">
        <f t="shared" si="14"/>
        <v>44469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191860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39">
        <f t="shared" si="14"/>
        <v>44469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987469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39">
        <f t="shared" ref="C159:C179" si="17">endDate</f>
        <v>44469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5734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39">
        <f t="shared" si="17"/>
        <v>44469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3248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39">
        <f t="shared" si="17"/>
        <v>44469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1188311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39">
        <f t="shared" si="17"/>
        <v>44469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658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39">
        <f t="shared" si="17"/>
        <v>44469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39">
        <f t="shared" si="17"/>
        <v>44469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3442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39">
        <f t="shared" si="17"/>
        <v>44469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271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39">
        <f t="shared" si="17"/>
        <v>44469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152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39">
        <f t="shared" si="17"/>
        <v>44469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2461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39">
        <f t="shared" si="17"/>
        <v>44469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1263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39">
        <f t="shared" si="17"/>
        <v>44469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7589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39">
        <f t="shared" si="17"/>
        <v>44469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1196558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39">
        <f t="shared" si="17"/>
        <v>44469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39">
        <f t="shared" si="17"/>
        <v>44469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39">
        <f t="shared" si="17"/>
        <v>44469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39">
        <f t="shared" si="17"/>
        <v>44469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1196558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39">
        <f t="shared" si="17"/>
        <v>44469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39">
        <f t="shared" si="17"/>
        <v>44469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39">
        <f t="shared" si="17"/>
        <v>44469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39">
        <f t="shared" si="17"/>
        <v>44469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39">
        <f t="shared" si="17"/>
        <v>44469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1196558</v>
      </c>
    </row>
    <row r="180" spans="1:8" s="473" customFormat="1">
      <c r="C180" s="538"/>
      <c r="F180" s="477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39">
        <f t="shared" ref="C181:C216" si="20">endDate</f>
        <v>44469</v>
      </c>
      <c r="D181" s="99" t="s">
        <v>379</v>
      </c>
      <c r="E181" s="99">
        <v>1</v>
      </c>
      <c r="F181" s="99" t="s">
        <v>378</v>
      </c>
      <c r="G181" s="99" t="s">
        <v>832</v>
      </c>
      <c r="H181" s="474">
        <f>'3-Отчет за паричния поток'!C11</f>
        <v>1187535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39">
        <f t="shared" si="20"/>
        <v>44469</v>
      </c>
      <c r="D182" s="99" t="s">
        <v>381</v>
      </c>
      <c r="E182" s="99">
        <v>1</v>
      </c>
      <c r="F182" s="99" t="s">
        <v>380</v>
      </c>
      <c r="G182" s="99" t="s">
        <v>832</v>
      </c>
      <c r="H182" s="474">
        <f>'3-Отчет за паричния поток'!C12</f>
        <v>-1087152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39">
        <f t="shared" si="20"/>
        <v>44469</v>
      </c>
      <c r="D183" s="99" t="s">
        <v>383</v>
      </c>
      <c r="E183" s="99">
        <v>1</v>
      </c>
      <c r="F183" s="99" t="s">
        <v>382</v>
      </c>
      <c r="G183" s="99" t="s">
        <v>832</v>
      </c>
      <c r="H183" s="474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39">
        <f t="shared" si="20"/>
        <v>44469</v>
      </c>
      <c r="D184" s="99" t="s">
        <v>385</v>
      </c>
      <c r="E184" s="99">
        <v>1</v>
      </c>
      <c r="F184" s="99" t="s">
        <v>384</v>
      </c>
      <c r="G184" s="99" t="s">
        <v>832</v>
      </c>
      <c r="H184" s="474">
        <f>'3-Отчет за паричния поток'!C14</f>
        <v>-108355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39">
        <f t="shared" si="20"/>
        <v>44469</v>
      </c>
      <c r="D185" s="99" t="s">
        <v>387</v>
      </c>
      <c r="E185" s="99">
        <v>1</v>
      </c>
      <c r="F185" s="99" t="s">
        <v>386</v>
      </c>
      <c r="G185" s="99" t="s">
        <v>832</v>
      </c>
      <c r="H185" s="474">
        <f>'3-Отчет за паричния поток'!C15</f>
        <v>-49509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39">
        <f t="shared" si="20"/>
        <v>44469</v>
      </c>
      <c r="D186" s="99" t="s">
        <v>389</v>
      </c>
      <c r="E186" s="99">
        <v>1</v>
      </c>
      <c r="F186" s="99" t="s">
        <v>388</v>
      </c>
      <c r="G186" s="99" t="s">
        <v>832</v>
      </c>
      <c r="H186" s="474">
        <f>'3-Отчет за паричния поток'!C16</f>
        <v>-6194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39">
        <f t="shared" si="20"/>
        <v>44469</v>
      </c>
      <c r="D187" s="99" t="s">
        <v>391</v>
      </c>
      <c r="E187" s="99">
        <v>1</v>
      </c>
      <c r="F187" s="99" t="s">
        <v>390</v>
      </c>
      <c r="G187" s="99" t="s">
        <v>832</v>
      </c>
      <c r="H187" s="474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39">
        <f t="shared" si="20"/>
        <v>44469</v>
      </c>
      <c r="D188" s="99" t="s">
        <v>393</v>
      </c>
      <c r="E188" s="99">
        <v>1</v>
      </c>
      <c r="F188" s="99" t="s">
        <v>392</v>
      </c>
      <c r="G188" s="99" t="s">
        <v>832</v>
      </c>
      <c r="H188" s="474">
        <f>'3-Отчет за паричния поток'!C18</f>
        <v>-5604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39">
        <f t="shared" si="20"/>
        <v>44469</v>
      </c>
      <c r="D189" s="99" t="s">
        <v>395</v>
      </c>
      <c r="E189" s="99">
        <v>1</v>
      </c>
      <c r="F189" s="99" t="s">
        <v>394</v>
      </c>
      <c r="G189" s="99" t="s">
        <v>832</v>
      </c>
      <c r="H189" s="474">
        <f>'3-Отчет за паричния поток'!C19</f>
        <v>537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39">
        <f t="shared" si="20"/>
        <v>44469</v>
      </c>
      <c r="D190" s="99" t="s">
        <v>397</v>
      </c>
      <c r="E190" s="99">
        <v>1</v>
      </c>
      <c r="F190" s="99" t="s">
        <v>396</v>
      </c>
      <c r="G190" s="99" t="s">
        <v>832</v>
      </c>
      <c r="H190" s="474">
        <f>'3-Отчет за паричния поток'!C20</f>
        <v>-1699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39">
        <f t="shared" si="20"/>
        <v>44469</v>
      </c>
      <c r="D191" s="99" t="s">
        <v>399</v>
      </c>
      <c r="E191" s="99">
        <v>1</v>
      </c>
      <c r="F191" s="99" t="s">
        <v>398</v>
      </c>
      <c r="G191" s="99" t="s">
        <v>832</v>
      </c>
      <c r="H191" s="474">
        <f>'3-Отчет за паричния поток'!C21</f>
        <v>-70441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39">
        <f t="shared" si="20"/>
        <v>44469</v>
      </c>
      <c r="D192" s="99" t="s">
        <v>402</v>
      </c>
      <c r="E192" s="99">
        <v>1</v>
      </c>
      <c r="F192" s="99" t="s">
        <v>401</v>
      </c>
      <c r="G192" s="99" t="s">
        <v>833</v>
      </c>
      <c r="H192" s="474">
        <f>'3-Отчет за паричния поток'!C23</f>
        <v>-19172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39">
        <f t="shared" si="20"/>
        <v>44469</v>
      </c>
      <c r="D193" s="99" t="s">
        <v>404</v>
      </c>
      <c r="E193" s="99">
        <v>1</v>
      </c>
      <c r="F193" s="99" t="s">
        <v>403</v>
      </c>
      <c r="G193" s="99" t="s">
        <v>833</v>
      </c>
      <c r="H193" s="474">
        <f>'3-Отчет за паричния поток'!C24</f>
        <v>1559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39">
        <f t="shared" si="20"/>
        <v>44469</v>
      </c>
      <c r="D194" s="99" t="s">
        <v>406</v>
      </c>
      <c r="E194" s="99">
        <v>1</v>
      </c>
      <c r="F194" s="99" t="s">
        <v>405</v>
      </c>
      <c r="G194" s="99" t="s">
        <v>833</v>
      </c>
      <c r="H194" s="474">
        <f>'3-Отчет за паричния поток'!C25</f>
        <v>-4567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39">
        <f t="shared" si="20"/>
        <v>44469</v>
      </c>
      <c r="D195" s="99" t="s">
        <v>408</v>
      </c>
      <c r="E195" s="99">
        <v>1</v>
      </c>
      <c r="F195" s="99" t="s">
        <v>407</v>
      </c>
      <c r="G195" s="99" t="s">
        <v>833</v>
      </c>
      <c r="H195" s="474">
        <f>'3-Отчет за паричния поток'!C26</f>
        <v>12801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39">
        <f t="shared" si="20"/>
        <v>44469</v>
      </c>
      <c r="D196" s="99" t="s">
        <v>410</v>
      </c>
      <c r="E196" s="99">
        <v>1</v>
      </c>
      <c r="F196" s="99" t="s">
        <v>409</v>
      </c>
      <c r="G196" s="99" t="s">
        <v>833</v>
      </c>
      <c r="H196" s="474">
        <f>'3-Отчет за паричния поток'!C27</f>
        <v>2411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39">
        <f t="shared" si="20"/>
        <v>44469</v>
      </c>
      <c r="D197" s="99" t="s">
        <v>412</v>
      </c>
      <c r="E197" s="99">
        <v>1</v>
      </c>
      <c r="F197" s="99" t="s">
        <v>411</v>
      </c>
      <c r="G197" s="99" t="s">
        <v>833</v>
      </c>
      <c r="H197" s="474">
        <f>'3-Отчет за паричния поток'!C28</f>
        <v>-5498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39">
        <f t="shared" si="20"/>
        <v>44469</v>
      </c>
      <c r="D198" s="99" t="s">
        <v>414</v>
      </c>
      <c r="E198" s="99">
        <v>1</v>
      </c>
      <c r="F198" s="99" t="s">
        <v>413</v>
      </c>
      <c r="G198" s="99" t="s">
        <v>833</v>
      </c>
      <c r="H198" s="474">
        <f>'3-Отчет за паричния поток'!C29</f>
        <v>2675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39">
        <f t="shared" si="20"/>
        <v>44469</v>
      </c>
      <c r="D199" s="99" t="s">
        <v>416</v>
      </c>
      <c r="E199" s="99">
        <v>1</v>
      </c>
      <c r="F199" s="99" t="s">
        <v>415</v>
      </c>
      <c r="G199" s="99" t="s">
        <v>833</v>
      </c>
      <c r="H199" s="474">
        <f>'3-Отчет за паричния поток'!C30</f>
        <v>451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39">
        <f t="shared" si="20"/>
        <v>44469</v>
      </c>
      <c r="D200" s="99" t="s">
        <v>417</v>
      </c>
      <c r="E200" s="99">
        <v>1</v>
      </c>
      <c r="F200" s="99" t="s">
        <v>394</v>
      </c>
      <c r="G200" s="99" t="s">
        <v>833</v>
      </c>
      <c r="H200" s="474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39">
        <f t="shared" si="20"/>
        <v>44469</v>
      </c>
      <c r="D201" s="99" t="s">
        <v>419</v>
      </c>
      <c r="E201" s="99">
        <v>1</v>
      </c>
      <c r="F201" s="99" t="s">
        <v>418</v>
      </c>
      <c r="G201" s="99" t="s">
        <v>833</v>
      </c>
      <c r="H201" s="474">
        <f>'3-Отчет за паричния поток'!C32</f>
        <v>21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39">
        <f t="shared" si="20"/>
        <v>44469</v>
      </c>
      <c r="D202" s="99" t="s">
        <v>421</v>
      </c>
      <c r="E202" s="99">
        <v>1</v>
      </c>
      <c r="F202" s="99" t="s">
        <v>420</v>
      </c>
      <c r="G202" s="99" t="s">
        <v>833</v>
      </c>
      <c r="H202" s="474">
        <f>'3-Отчет за паричния поток'!C33</f>
        <v>-9319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39">
        <f t="shared" si="20"/>
        <v>44469</v>
      </c>
      <c r="D203" s="99" t="s">
        <v>424</v>
      </c>
      <c r="E203" s="99">
        <v>1</v>
      </c>
      <c r="F203" s="99" t="s">
        <v>423</v>
      </c>
      <c r="G203" s="99" t="s">
        <v>834</v>
      </c>
      <c r="H203" s="474">
        <f>'3-Отчет за паричния поток'!C35</f>
        <v>0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39">
        <f t="shared" si="20"/>
        <v>44469</v>
      </c>
      <c r="D204" s="99" t="s">
        <v>426</v>
      </c>
      <c r="E204" s="99">
        <v>1</v>
      </c>
      <c r="F204" s="99" t="s">
        <v>425</v>
      </c>
      <c r="G204" s="99" t="s">
        <v>834</v>
      </c>
      <c r="H204" s="474">
        <f>'3-Отчет за паричния поток'!C36</f>
        <v>-4079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39">
        <f t="shared" si="20"/>
        <v>44469</v>
      </c>
      <c r="D205" s="99" t="s">
        <v>428</v>
      </c>
      <c r="E205" s="99">
        <v>1</v>
      </c>
      <c r="F205" s="99" t="s">
        <v>427</v>
      </c>
      <c r="G205" s="99" t="s">
        <v>834</v>
      </c>
      <c r="H205" s="474">
        <f>'3-Отчет за паричния поток'!C37</f>
        <v>15051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39">
        <f t="shared" si="20"/>
        <v>44469</v>
      </c>
      <c r="D206" s="99" t="s">
        <v>430</v>
      </c>
      <c r="E206" s="99">
        <v>1</v>
      </c>
      <c r="F206" s="99" t="s">
        <v>429</v>
      </c>
      <c r="G206" s="99" t="s">
        <v>834</v>
      </c>
      <c r="H206" s="474">
        <f>'3-Отчет за паричния поток'!C38</f>
        <v>-85643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39">
        <f t="shared" si="20"/>
        <v>44469</v>
      </c>
      <c r="D207" s="99" t="s">
        <v>432</v>
      </c>
      <c r="E207" s="99">
        <v>1</v>
      </c>
      <c r="F207" s="99" t="s">
        <v>431</v>
      </c>
      <c r="G207" s="99" t="s">
        <v>834</v>
      </c>
      <c r="H207" s="474">
        <f>'3-Отчет за паричния поток'!C39</f>
        <v>-15957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39">
        <f t="shared" si="20"/>
        <v>44469</v>
      </c>
      <c r="D208" s="99" t="s">
        <v>434</v>
      </c>
      <c r="E208" s="99">
        <v>1</v>
      </c>
      <c r="F208" s="99" t="s">
        <v>433</v>
      </c>
      <c r="G208" s="99" t="s">
        <v>834</v>
      </c>
      <c r="H208" s="474">
        <f>'3-Отчет за паричния поток'!C40</f>
        <v>-1706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39">
        <f t="shared" si="20"/>
        <v>44469</v>
      </c>
      <c r="D209" s="99" t="s">
        <v>436</v>
      </c>
      <c r="E209" s="99">
        <v>1</v>
      </c>
      <c r="F209" s="99" t="s">
        <v>435</v>
      </c>
      <c r="G209" s="99" t="s">
        <v>834</v>
      </c>
      <c r="H209" s="474">
        <f>'3-Отчет за паричния поток'!C41</f>
        <v>-32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39">
        <f t="shared" si="20"/>
        <v>44469</v>
      </c>
      <c r="D210" s="99" t="s">
        <v>438</v>
      </c>
      <c r="E210" s="99">
        <v>1</v>
      </c>
      <c r="F210" s="99" t="s">
        <v>437</v>
      </c>
      <c r="G210" s="99" t="s">
        <v>834</v>
      </c>
      <c r="H210" s="474">
        <f>'3-Отчет за паричния поток'!C42</f>
        <v>169173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39">
        <f t="shared" si="20"/>
        <v>44469</v>
      </c>
      <c r="D211" s="99" t="s">
        <v>440</v>
      </c>
      <c r="E211" s="99">
        <v>1</v>
      </c>
      <c r="F211" s="99" t="s">
        <v>439</v>
      </c>
      <c r="G211" s="99" t="s">
        <v>834</v>
      </c>
      <c r="H211" s="474">
        <f>'3-Отчет за паричния поток'!C43</f>
        <v>76807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39">
        <f t="shared" si="20"/>
        <v>44469</v>
      </c>
      <c r="D212" s="99" t="s">
        <v>442</v>
      </c>
      <c r="E212" s="99">
        <v>1</v>
      </c>
      <c r="F212" s="99" t="s">
        <v>441</v>
      </c>
      <c r="H212" s="474">
        <f>'3-Отчет за паричния поток'!C44</f>
        <v>-2953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39">
        <f t="shared" si="20"/>
        <v>44469</v>
      </c>
      <c r="D213" s="99" t="s">
        <v>444</v>
      </c>
      <c r="E213" s="99">
        <v>1</v>
      </c>
      <c r="F213" s="99" t="s">
        <v>443</v>
      </c>
      <c r="H213" s="474">
        <f>'3-Отчет за паричния поток'!C45</f>
        <v>25139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39">
        <f t="shared" si="20"/>
        <v>44469</v>
      </c>
      <c r="D214" s="99" t="s">
        <v>446</v>
      </c>
      <c r="E214" s="99">
        <v>1</v>
      </c>
      <c r="F214" s="99" t="s">
        <v>445</v>
      </c>
      <c r="H214" s="474">
        <f>'3-Отчет за паричния поток'!C46</f>
        <v>22186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39">
        <f t="shared" si="20"/>
        <v>44469</v>
      </c>
      <c r="D215" s="99" t="s">
        <v>448</v>
      </c>
      <c r="E215" s="99">
        <v>1</v>
      </c>
      <c r="F215" s="99" t="s">
        <v>447</v>
      </c>
      <c r="H215" s="474">
        <f>'3-Отчет за паричния поток'!C47</f>
        <v>22186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39">
        <f t="shared" si="20"/>
        <v>44469</v>
      </c>
      <c r="D216" s="99" t="s">
        <v>450</v>
      </c>
      <c r="E216" s="99">
        <v>1</v>
      </c>
      <c r="F216" s="99" t="s">
        <v>449</v>
      </c>
      <c r="H216" s="474">
        <f>'3-Отчет за паричния поток'!C48</f>
        <v>6</v>
      </c>
    </row>
    <row r="217" spans="1:8" s="473" customFormat="1">
      <c r="C217" s="538"/>
      <c r="F217" s="477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39">
        <f t="shared" ref="C218:C281" si="23">endDate</f>
        <v>44469</v>
      </c>
      <c r="D218" s="99" t="s">
        <v>468</v>
      </c>
      <c r="E218" s="99">
        <v>1</v>
      </c>
      <c r="F218" s="475" t="s">
        <v>467</v>
      </c>
      <c r="H218" s="474">
        <f>'4-Отчет за собствения капитал'!C13</f>
        <v>101142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39">
        <f t="shared" si="23"/>
        <v>44469</v>
      </c>
      <c r="D219" s="99" t="s">
        <v>470</v>
      </c>
      <c r="E219" s="99">
        <v>1</v>
      </c>
      <c r="F219" s="475" t="s">
        <v>469</v>
      </c>
      <c r="H219" s="474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39">
        <f t="shared" si="23"/>
        <v>44469</v>
      </c>
      <c r="D220" s="99" t="s">
        <v>472</v>
      </c>
      <c r="E220" s="99">
        <v>1</v>
      </c>
      <c r="F220" s="475" t="s">
        <v>471</v>
      </c>
      <c r="H220" s="474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39">
        <f t="shared" si="23"/>
        <v>44469</v>
      </c>
      <c r="D221" s="99" t="s">
        <v>474</v>
      </c>
      <c r="E221" s="99">
        <v>1</v>
      </c>
      <c r="F221" s="475" t="s">
        <v>473</v>
      </c>
      <c r="H221" s="474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39">
        <f t="shared" si="23"/>
        <v>44469</v>
      </c>
      <c r="D222" s="99" t="s">
        <v>476</v>
      </c>
      <c r="E222" s="99">
        <v>1</v>
      </c>
      <c r="F222" s="475" t="s">
        <v>475</v>
      </c>
      <c r="H222" s="474">
        <f>'4-Отчет за собствения капитал'!C17</f>
        <v>101142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39">
        <f t="shared" si="23"/>
        <v>44469</v>
      </c>
      <c r="D223" s="99" t="s">
        <v>478</v>
      </c>
      <c r="E223" s="99">
        <v>1</v>
      </c>
      <c r="F223" s="475" t="s">
        <v>477</v>
      </c>
      <c r="H223" s="474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39">
        <f t="shared" si="23"/>
        <v>44469</v>
      </c>
      <c r="D224" s="99" t="s">
        <v>480</v>
      </c>
      <c r="E224" s="99">
        <v>1</v>
      </c>
      <c r="F224" s="475" t="s">
        <v>479</v>
      </c>
      <c r="H224" s="474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39">
        <f t="shared" si="23"/>
        <v>44469</v>
      </c>
      <c r="D225" s="99" t="s">
        <v>482</v>
      </c>
      <c r="E225" s="99">
        <v>1</v>
      </c>
      <c r="F225" s="475" t="s">
        <v>481</v>
      </c>
      <c r="H225" s="474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39">
        <f t="shared" si="23"/>
        <v>44469</v>
      </c>
      <c r="D226" s="99" t="s">
        <v>484</v>
      </c>
      <c r="E226" s="99">
        <v>1</v>
      </c>
      <c r="F226" s="475" t="s">
        <v>483</v>
      </c>
      <c r="H226" s="474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39">
        <f t="shared" si="23"/>
        <v>44469</v>
      </c>
      <c r="D227" s="99" t="s">
        <v>486</v>
      </c>
      <c r="E227" s="99">
        <v>1</v>
      </c>
      <c r="F227" s="475" t="s">
        <v>485</v>
      </c>
      <c r="H227" s="474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39">
        <f t="shared" si="23"/>
        <v>44469</v>
      </c>
      <c r="D228" s="99" t="s">
        <v>488</v>
      </c>
      <c r="E228" s="99">
        <v>1</v>
      </c>
      <c r="F228" s="475" t="s">
        <v>487</v>
      </c>
      <c r="H228" s="474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39">
        <f t="shared" si="23"/>
        <v>44469</v>
      </c>
      <c r="D229" s="99" t="s">
        <v>490</v>
      </c>
      <c r="E229" s="99">
        <v>1</v>
      </c>
      <c r="F229" s="475" t="s">
        <v>489</v>
      </c>
      <c r="H229" s="474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39">
        <f t="shared" si="23"/>
        <v>44469</v>
      </c>
      <c r="D230" s="99" t="s">
        <v>492</v>
      </c>
      <c r="E230" s="99">
        <v>1</v>
      </c>
      <c r="F230" s="475" t="s">
        <v>491</v>
      </c>
      <c r="H230" s="474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39">
        <f t="shared" si="23"/>
        <v>44469</v>
      </c>
      <c r="D231" s="99" t="s">
        <v>494</v>
      </c>
      <c r="E231" s="99">
        <v>1</v>
      </c>
      <c r="F231" s="475" t="s">
        <v>493</v>
      </c>
      <c r="H231" s="474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39">
        <f t="shared" si="23"/>
        <v>44469</v>
      </c>
      <c r="D232" s="99" t="s">
        <v>495</v>
      </c>
      <c r="E232" s="99">
        <v>1</v>
      </c>
      <c r="F232" s="475" t="s">
        <v>489</v>
      </c>
      <c r="H232" s="474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39">
        <f t="shared" si="23"/>
        <v>44469</v>
      </c>
      <c r="D233" s="99" t="s">
        <v>496</v>
      </c>
      <c r="E233" s="99">
        <v>1</v>
      </c>
      <c r="F233" s="475" t="s">
        <v>491</v>
      </c>
      <c r="H233" s="474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39">
        <f t="shared" si="23"/>
        <v>44469</v>
      </c>
      <c r="D234" s="99" t="s">
        <v>498</v>
      </c>
      <c r="E234" s="99">
        <v>1</v>
      </c>
      <c r="F234" s="475" t="s">
        <v>497</v>
      </c>
      <c r="H234" s="474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39">
        <f t="shared" si="23"/>
        <v>44469</v>
      </c>
      <c r="D235" s="99" t="s">
        <v>500</v>
      </c>
      <c r="E235" s="99">
        <v>1</v>
      </c>
      <c r="F235" s="475" t="s">
        <v>499</v>
      </c>
      <c r="H235" s="474">
        <f>'4-Отчет за собствения капитал'!C30</f>
        <v>-4079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39">
        <f t="shared" si="23"/>
        <v>44469</v>
      </c>
      <c r="D236" s="99" t="s">
        <v>502</v>
      </c>
      <c r="E236" s="99">
        <v>1</v>
      </c>
      <c r="F236" s="475" t="s">
        <v>501</v>
      </c>
      <c r="H236" s="474">
        <f>'4-Отчет за собствения капитал'!C31</f>
        <v>97063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39">
        <f t="shared" si="23"/>
        <v>44469</v>
      </c>
      <c r="D237" s="99" t="s">
        <v>504</v>
      </c>
      <c r="E237" s="99">
        <v>1</v>
      </c>
      <c r="F237" s="475" t="s">
        <v>503</v>
      </c>
      <c r="H237" s="474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39">
        <f t="shared" si="23"/>
        <v>44469</v>
      </c>
      <c r="D238" s="99" t="s">
        <v>506</v>
      </c>
      <c r="E238" s="99">
        <v>1</v>
      </c>
      <c r="F238" s="475" t="s">
        <v>505</v>
      </c>
      <c r="H238" s="474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39">
        <f t="shared" si="23"/>
        <v>44469</v>
      </c>
      <c r="D239" s="99" t="s">
        <v>508</v>
      </c>
      <c r="E239" s="99">
        <v>1</v>
      </c>
      <c r="F239" s="475" t="s">
        <v>507</v>
      </c>
      <c r="H239" s="474">
        <f>'4-Отчет за собствения капитал'!C34</f>
        <v>97063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39">
        <f t="shared" si="23"/>
        <v>44469</v>
      </c>
      <c r="D240" s="99" t="s">
        <v>468</v>
      </c>
      <c r="E240" s="99">
        <v>2</v>
      </c>
      <c r="F240" s="475" t="s">
        <v>467</v>
      </c>
      <c r="H240" s="474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39">
        <f t="shared" si="23"/>
        <v>44469</v>
      </c>
      <c r="D241" s="99" t="s">
        <v>470</v>
      </c>
      <c r="E241" s="99">
        <v>2</v>
      </c>
      <c r="F241" s="475" t="s">
        <v>469</v>
      </c>
      <c r="H241" s="474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39">
        <f t="shared" si="23"/>
        <v>44469</v>
      </c>
      <c r="D242" s="99" t="s">
        <v>472</v>
      </c>
      <c r="E242" s="99">
        <v>2</v>
      </c>
      <c r="F242" s="475" t="s">
        <v>471</v>
      </c>
      <c r="H242" s="474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39">
        <f t="shared" si="23"/>
        <v>44469</v>
      </c>
      <c r="D243" s="99" t="s">
        <v>474</v>
      </c>
      <c r="E243" s="99">
        <v>2</v>
      </c>
      <c r="F243" s="475" t="s">
        <v>473</v>
      </c>
      <c r="H243" s="474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39">
        <f t="shared" si="23"/>
        <v>44469</v>
      </c>
      <c r="D244" s="99" t="s">
        <v>476</v>
      </c>
      <c r="E244" s="99">
        <v>2</v>
      </c>
      <c r="F244" s="475" t="s">
        <v>475</v>
      </c>
      <c r="H244" s="474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39">
        <f t="shared" si="23"/>
        <v>44469</v>
      </c>
      <c r="D245" s="99" t="s">
        <v>478</v>
      </c>
      <c r="E245" s="99">
        <v>2</v>
      </c>
      <c r="F245" s="475" t="s">
        <v>477</v>
      </c>
      <c r="H245" s="474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39">
        <f t="shared" si="23"/>
        <v>44469</v>
      </c>
      <c r="D246" s="99" t="s">
        <v>480</v>
      </c>
      <c r="E246" s="99">
        <v>2</v>
      </c>
      <c r="F246" s="475" t="s">
        <v>479</v>
      </c>
      <c r="H246" s="474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39">
        <f t="shared" si="23"/>
        <v>44469</v>
      </c>
      <c r="D247" s="99" t="s">
        <v>482</v>
      </c>
      <c r="E247" s="99">
        <v>2</v>
      </c>
      <c r="F247" s="475" t="s">
        <v>481</v>
      </c>
      <c r="H247" s="474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39">
        <f t="shared" si="23"/>
        <v>44469</v>
      </c>
      <c r="D248" s="99" t="s">
        <v>484</v>
      </c>
      <c r="E248" s="99">
        <v>2</v>
      </c>
      <c r="F248" s="475" t="s">
        <v>483</v>
      </c>
      <c r="H248" s="474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39">
        <f t="shared" si="23"/>
        <v>44469</v>
      </c>
      <c r="D249" s="99" t="s">
        <v>486</v>
      </c>
      <c r="E249" s="99">
        <v>2</v>
      </c>
      <c r="F249" s="475" t="s">
        <v>485</v>
      </c>
      <c r="H249" s="474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39">
        <f t="shared" si="23"/>
        <v>44469</v>
      </c>
      <c r="D250" s="99" t="s">
        <v>488</v>
      </c>
      <c r="E250" s="99">
        <v>2</v>
      </c>
      <c r="F250" s="475" t="s">
        <v>487</v>
      </c>
      <c r="H250" s="474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39">
        <f t="shared" si="23"/>
        <v>44469</v>
      </c>
      <c r="D251" s="99" t="s">
        <v>490</v>
      </c>
      <c r="E251" s="99">
        <v>2</v>
      </c>
      <c r="F251" s="475" t="s">
        <v>489</v>
      </c>
      <c r="H251" s="474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39">
        <f t="shared" si="23"/>
        <v>44469</v>
      </c>
      <c r="D252" s="99" t="s">
        <v>492</v>
      </c>
      <c r="E252" s="99">
        <v>2</v>
      </c>
      <c r="F252" s="475" t="s">
        <v>491</v>
      </c>
      <c r="H252" s="474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39">
        <f t="shared" si="23"/>
        <v>44469</v>
      </c>
      <c r="D253" s="99" t="s">
        <v>494</v>
      </c>
      <c r="E253" s="99">
        <v>2</v>
      </c>
      <c r="F253" s="475" t="s">
        <v>493</v>
      </c>
      <c r="H253" s="474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39">
        <f t="shared" si="23"/>
        <v>44469</v>
      </c>
      <c r="D254" s="99" t="s">
        <v>495</v>
      </c>
      <c r="E254" s="99">
        <v>2</v>
      </c>
      <c r="F254" s="475" t="s">
        <v>489</v>
      </c>
      <c r="H254" s="474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39">
        <f t="shared" si="23"/>
        <v>44469</v>
      </c>
      <c r="D255" s="99" t="s">
        <v>496</v>
      </c>
      <c r="E255" s="99">
        <v>2</v>
      </c>
      <c r="F255" s="475" t="s">
        <v>491</v>
      </c>
      <c r="H255" s="474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39">
        <f t="shared" si="23"/>
        <v>44469</v>
      </c>
      <c r="D256" s="99" t="s">
        <v>498</v>
      </c>
      <c r="E256" s="99">
        <v>2</v>
      </c>
      <c r="F256" s="475" t="s">
        <v>497</v>
      </c>
      <c r="H256" s="474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39">
        <f t="shared" si="23"/>
        <v>44469</v>
      </c>
      <c r="D257" s="99" t="s">
        <v>500</v>
      </c>
      <c r="E257" s="99">
        <v>2</v>
      </c>
      <c r="F257" s="475" t="s">
        <v>499</v>
      </c>
      <c r="H257" s="474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39">
        <f t="shared" si="23"/>
        <v>44469</v>
      </c>
      <c r="D258" s="99" t="s">
        <v>502</v>
      </c>
      <c r="E258" s="99">
        <v>2</v>
      </c>
      <c r="F258" s="475" t="s">
        <v>501</v>
      </c>
      <c r="H258" s="474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39">
        <f t="shared" si="23"/>
        <v>44469</v>
      </c>
      <c r="D259" s="99" t="s">
        <v>504</v>
      </c>
      <c r="E259" s="99">
        <v>2</v>
      </c>
      <c r="F259" s="475" t="s">
        <v>503</v>
      </c>
      <c r="H259" s="474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39">
        <f t="shared" si="23"/>
        <v>44469</v>
      </c>
      <c r="D260" s="99" t="s">
        <v>506</v>
      </c>
      <c r="E260" s="99">
        <v>2</v>
      </c>
      <c r="F260" s="475" t="s">
        <v>505</v>
      </c>
      <c r="H260" s="474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39">
        <f t="shared" si="23"/>
        <v>44469</v>
      </c>
      <c r="D261" s="99" t="s">
        <v>508</v>
      </c>
      <c r="E261" s="99">
        <v>2</v>
      </c>
      <c r="F261" s="475" t="s">
        <v>507</v>
      </c>
      <c r="H261" s="474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39">
        <f t="shared" si="23"/>
        <v>44469</v>
      </c>
      <c r="D262" s="99" t="s">
        <v>468</v>
      </c>
      <c r="E262" s="99">
        <v>3</v>
      </c>
      <c r="F262" s="475" t="s">
        <v>467</v>
      </c>
      <c r="H262" s="474">
        <f>'4-Отчет за собствения капитал'!E13</f>
        <v>28022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39">
        <f t="shared" si="23"/>
        <v>44469</v>
      </c>
      <c r="D263" s="99" t="s">
        <v>470</v>
      </c>
      <c r="E263" s="99">
        <v>3</v>
      </c>
      <c r="F263" s="475" t="s">
        <v>469</v>
      </c>
      <c r="H263" s="474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39">
        <f t="shared" si="23"/>
        <v>44469</v>
      </c>
      <c r="D264" s="99" t="s">
        <v>472</v>
      </c>
      <c r="E264" s="99">
        <v>3</v>
      </c>
      <c r="F264" s="475" t="s">
        <v>471</v>
      </c>
      <c r="H264" s="474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39">
        <f t="shared" si="23"/>
        <v>44469</v>
      </c>
      <c r="D265" s="99" t="s">
        <v>474</v>
      </c>
      <c r="E265" s="99">
        <v>3</v>
      </c>
      <c r="F265" s="475" t="s">
        <v>473</v>
      </c>
      <c r="H265" s="474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39">
        <f t="shared" si="23"/>
        <v>44469</v>
      </c>
      <c r="D266" s="99" t="s">
        <v>476</v>
      </c>
      <c r="E266" s="99">
        <v>3</v>
      </c>
      <c r="F266" s="475" t="s">
        <v>475</v>
      </c>
      <c r="H266" s="474">
        <f>'4-Отчет за собствения капитал'!E17</f>
        <v>28022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39">
        <f t="shared" si="23"/>
        <v>44469</v>
      </c>
      <c r="D267" s="99" t="s">
        <v>478</v>
      </c>
      <c r="E267" s="99">
        <v>3</v>
      </c>
      <c r="F267" s="475" t="s">
        <v>477</v>
      </c>
      <c r="H267" s="474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39">
        <f t="shared" si="23"/>
        <v>44469</v>
      </c>
      <c r="D268" s="99" t="s">
        <v>480</v>
      </c>
      <c r="E268" s="99">
        <v>3</v>
      </c>
      <c r="F268" s="475" t="s">
        <v>479</v>
      </c>
      <c r="H268" s="474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39">
        <f t="shared" si="23"/>
        <v>44469</v>
      </c>
      <c r="D269" s="99" t="s">
        <v>482</v>
      </c>
      <c r="E269" s="99">
        <v>3</v>
      </c>
      <c r="F269" s="475" t="s">
        <v>481</v>
      </c>
      <c r="H269" s="474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39">
        <f t="shared" si="23"/>
        <v>44469</v>
      </c>
      <c r="D270" s="99" t="s">
        <v>484</v>
      </c>
      <c r="E270" s="99">
        <v>3</v>
      </c>
      <c r="F270" s="475" t="s">
        <v>483</v>
      </c>
      <c r="H270" s="474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39">
        <f t="shared" si="23"/>
        <v>44469</v>
      </c>
      <c r="D271" s="99" t="s">
        <v>486</v>
      </c>
      <c r="E271" s="99">
        <v>3</v>
      </c>
      <c r="F271" s="475" t="s">
        <v>485</v>
      </c>
      <c r="H271" s="474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39">
        <f t="shared" si="23"/>
        <v>44469</v>
      </c>
      <c r="D272" s="99" t="s">
        <v>488</v>
      </c>
      <c r="E272" s="99">
        <v>3</v>
      </c>
      <c r="F272" s="475" t="s">
        <v>487</v>
      </c>
      <c r="H272" s="474">
        <f>'4-Отчет за собствения капитал'!E23</f>
        <v>-52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39">
        <f t="shared" si="23"/>
        <v>44469</v>
      </c>
      <c r="D273" s="99" t="s">
        <v>490</v>
      </c>
      <c r="E273" s="99">
        <v>3</v>
      </c>
      <c r="F273" s="475" t="s">
        <v>489</v>
      </c>
      <c r="H273" s="474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39">
        <f t="shared" si="23"/>
        <v>44469</v>
      </c>
      <c r="D274" s="99" t="s">
        <v>492</v>
      </c>
      <c r="E274" s="99">
        <v>3</v>
      </c>
      <c r="F274" s="475" t="s">
        <v>491</v>
      </c>
      <c r="H274" s="474">
        <f>'4-Отчет за собствения капитал'!E25</f>
        <v>52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39">
        <f t="shared" si="23"/>
        <v>44469</v>
      </c>
      <c r="D275" s="99" t="s">
        <v>494</v>
      </c>
      <c r="E275" s="99">
        <v>3</v>
      </c>
      <c r="F275" s="475" t="s">
        <v>493</v>
      </c>
      <c r="H275" s="474">
        <f>'4-Отчет за собствения капитал'!E26</f>
        <v>-149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39">
        <f t="shared" si="23"/>
        <v>44469</v>
      </c>
      <c r="D276" s="99" t="s">
        <v>495</v>
      </c>
      <c r="E276" s="99">
        <v>3</v>
      </c>
      <c r="F276" s="475" t="s">
        <v>489</v>
      </c>
      <c r="H276" s="474">
        <f>'4-Отчет за собствения капитал'!E27</f>
        <v>742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39">
        <f t="shared" si="23"/>
        <v>44469</v>
      </c>
      <c r="D277" s="99" t="s">
        <v>496</v>
      </c>
      <c r="E277" s="99">
        <v>3</v>
      </c>
      <c r="F277" s="475" t="s">
        <v>491</v>
      </c>
      <c r="H277" s="474">
        <f>'4-Отчет за собствения капитал'!E28</f>
        <v>891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39">
        <f t="shared" si="23"/>
        <v>44469</v>
      </c>
      <c r="D278" s="99" t="s">
        <v>498</v>
      </c>
      <c r="E278" s="99">
        <v>3</v>
      </c>
      <c r="F278" s="475" t="s">
        <v>497</v>
      </c>
      <c r="H278" s="474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39">
        <f t="shared" si="23"/>
        <v>44469</v>
      </c>
      <c r="D279" s="99" t="s">
        <v>500</v>
      </c>
      <c r="E279" s="99">
        <v>3</v>
      </c>
      <c r="F279" s="475" t="s">
        <v>499</v>
      </c>
      <c r="H279" s="474">
        <f>'4-Отчет за собствения капитал'!E30</f>
        <v>157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39">
        <f t="shared" si="23"/>
        <v>44469</v>
      </c>
      <c r="D280" s="99" t="s">
        <v>502</v>
      </c>
      <c r="E280" s="99">
        <v>3</v>
      </c>
      <c r="F280" s="475" t="s">
        <v>501</v>
      </c>
      <c r="H280" s="474">
        <f>'4-Отчет за собствения капитал'!E31</f>
        <v>27978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39">
        <f t="shared" si="23"/>
        <v>44469</v>
      </c>
      <c r="D281" s="99" t="s">
        <v>504</v>
      </c>
      <c r="E281" s="99">
        <v>3</v>
      </c>
      <c r="F281" s="475" t="s">
        <v>503</v>
      </c>
      <c r="H281" s="474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39">
        <f t="shared" ref="C282:C345" si="26">endDate</f>
        <v>44469</v>
      </c>
      <c r="D282" s="99" t="s">
        <v>506</v>
      </c>
      <c r="E282" s="99">
        <v>3</v>
      </c>
      <c r="F282" s="475" t="s">
        <v>505</v>
      </c>
      <c r="H282" s="474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39">
        <f t="shared" si="26"/>
        <v>44469</v>
      </c>
      <c r="D283" s="99" t="s">
        <v>508</v>
      </c>
      <c r="E283" s="99">
        <v>3</v>
      </c>
      <c r="F283" s="475" t="s">
        <v>507</v>
      </c>
      <c r="H283" s="474">
        <f>'4-Отчет за собствения капитал'!E34</f>
        <v>27978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39">
        <f t="shared" si="26"/>
        <v>44469</v>
      </c>
      <c r="D284" s="99" t="s">
        <v>468</v>
      </c>
      <c r="E284" s="99">
        <v>4</v>
      </c>
      <c r="F284" s="475" t="s">
        <v>467</v>
      </c>
      <c r="H284" s="474">
        <f>'4-Отчет за собствения капитал'!F13</f>
        <v>63335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39">
        <f t="shared" si="26"/>
        <v>44469</v>
      </c>
      <c r="D285" s="99" t="s">
        <v>470</v>
      </c>
      <c r="E285" s="99">
        <v>4</v>
      </c>
      <c r="F285" s="475" t="s">
        <v>469</v>
      </c>
      <c r="H285" s="474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39">
        <f t="shared" si="26"/>
        <v>44469</v>
      </c>
      <c r="D286" s="99" t="s">
        <v>472</v>
      </c>
      <c r="E286" s="99">
        <v>4</v>
      </c>
      <c r="F286" s="475" t="s">
        <v>471</v>
      </c>
      <c r="H286" s="474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39">
        <f t="shared" si="26"/>
        <v>44469</v>
      </c>
      <c r="D287" s="99" t="s">
        <v>474</v>
      </c>
      <c r="E287" s="99">
        <v>4</v>
      </c>
      <c r="F287" s="475" t="s">
        <v>473</v>
      </c>
      <c r="H287" s="474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39">
        <f t="shared" si="26"/>
        <v>44469</v>
      </c>
      <c r="D288" s="99" t="s">
        <v>476</v>
      </c>
      <c r="E288" s="99">
        <v>4</v>
      </c>
      <c r="F288" s="475" t="s">
        <v>475</v>
      </c>
      <c r="H288" s="474">
        <f>'4-Отчет за собствения капитал'!F17</f>
        <v>63335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39">
        <f t="shared" si="26"/>
        <v>44469</v>
      </c>
      <c r="D289" s="99" t="s">
        <v>478</v>
      </c>
      <c r="E289" s="99">
        <v>4</v>
      </c>
      <c r="F289" s="475" t="s">
        <v>477</v>
      </c>
      <c r="H289" s="474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39">
        <f t="shared" si="26"/>
        <v>44469</v>
      </c>
      <c r="D290" s="99" t="s">
        <v>480</v>
      </c>
      <c r="E290" s="99">
        <v>4</v>
      </c>
      <c r="F290" s="475" t="s">
        <v>479</v>
      </c>
      <c r="H290" s="474">
        <f>'4-Отчет за собствения капитал'!F19</f>
        <v>2866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39">
        <f t="shared" si="26"/>
        <v>44469</v>
      </c>
      <c r="D291" s="99" t="s">
        <v>482</v>
      </c>
      <c r="E291" s="99">
        <v>4</v>
      </c>
      <c r="F291" s="475" t="s">
        <v>481</v>
      </c>
      <c r="H291" s="474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39">
        <f t="shared" si="26"/>
        <v>44469</v>
      </c>
      <c r="D292" s="99" t="s">
        <v>484</v>
      </c>
      <c r="E292" s="99">
        <v>4</v>
      </c>
      <c r="F292" s="475" t="s">
        <v>483</v>
      </c>
      <c r="H292" s="474">
        <f>'4-Отчет за собствения капитал'!F21</f>
        <v>2866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39">
        <f t="shared" si="26"/>
        <v>44469</v>
      </c>
      <c r="D293" s="99" t="s">
        <v>486</v>
      </c>
      <c r="E293" s="99">
        <v>4</v>
      </c>
      <c r="F293" s="475" t="s">
        <v>485</v>
      </c>
      <c r="H293" s="474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39">
        <f t="shared" si="26"/>
        <v>44469</v>
      </c>
      <c r="D294" s="99" t="s">
        <v>488</v>
      </c>
      <c r="E294" s="99">
        <v>4</v>
      </c>
      <c r="F294" s="475" t="s">
        <v>487</v>
      </c>
      <c r="H294" s="474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39">
        <f t="shared" si="26"/>
        <v>44469</v>
      </c>
      <c r="D295" s="99" t="s">
        <v>490</v>
      </c>
      <c r="E295" s="99">
        <v>4</v>
      </c>
      <c r="F295" s="475" t="s">
        <v>489</v>
      </c>
      <c r="H295" s="474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39">
        <f t="shared" si="26"/>
        <v>44469</v>
      </c>
      <c r="D296" s="99" t="s">
        <v>492</v>
      </c>
      <c r="E296" s="99">
        <v>4</v>
      </c>
      <c r="F296" s="475" t="s">
        <v>491</v>
      </c>
      <c r="H296" s="474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39">
        <f t="shared" si="26"/>
        <v>44469</v>
      </c>
      <c r="D297" s="99" t="s">
        <v>494</v>
      </c>
      <c r="E297" s="99">
        <v>4</v>
      </c>
      <c r="F297" s="475" t="s">
        <v>493</v>
      </c>
      <c r="H297" s="474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39">
        <f t="shared" si="26"/>
        <v>44469</v>
      </c>
      <c r="D298" s="99" t="s">
        <v>495</v>
      </c>
      <c r="E298" s="99">
        <v>4</v>
      </c>
      <c r="F298" s="475" t="s">
        <v>489</v>
      </c>
      <c r="H298" s="474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39">
        <f t="shared" si="26"/>
        <v>44469</v>
      </c>
      <c r="D299" s="99" t="s">
        <v>496</v>
      </c>
      <c r="E299" s="99">
        <v>4</v>
      </c>
      <c r="F299" s="475" t="s">
        <v>491</v>
      </c>
      <c r="H299" s="474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39">
        <f t="shared" si="26"/>
        <v>44469</v>
      </c>
      <c r="D300" s="99" t="s">
        <v>498</v>
      </c>
      <c r="E300" s="99">
        <v>4</v>
      </c>
      <c r="F300" s="475" t="s">
        <v>497</v>
      </c>
      <c r="H300" s="474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39">
        <f t="shared" si="26"/>
        <v>44469</v>
      </c>
      <c r="D301" s="99" t="s">
        <v>500</v>
      </c>
      <c r="E301" s="99">
        <v>4</v>
      </c>
      <c r="F301" s="475" t="s">
        <v>499</v>
      </c>
      <c r="H301" s="474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39">
        <f t="shared" si="26"/>
        <v>44469</v>
      </c>
      <c r="D302" s="99" t="s">
        <v>502</v>
      </c>
      <c r="E302" s="99">
        <v>4</v>
      </c>
      <c r="F302" s="475" t="s">
        <v>501</v>
      </c>
      <c r="H302" s="474">
        <f>'4-Отчет за собствения капитал'!F31</f>
        <v>66201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39">
        <f t="shared" si="26"/>
        <v>44469</v>
      </c>
      <c r="D303" s="99" t="s">
        <v>504</v>
      </c>
      <c r="E303" s="99">
        <v>4</v>
      </c>
      <c r="F303" s="475" t="s">
        <v>503</v>
      </c>
      <c r="H303" s="474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39">
        <f t="shared" si="26"/>
        <v>44469</v>
      </c>
      <c r="D304" s="99" t="s">
        <v>506</v>
      </c>
      <c r="E304" s="99">
        <v>4</v>
      </c>
      <c r="F304" s="475" t="s">
        <v>505</v>
      </c>
      <c r="H304" s="474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39">
        <f t="shared" si="26"/>
        <v>44469</v>
      </c>
      <c r="D305" s="99" t="s">
        <v>508</v>
      </c>
      <c r="E305" s="99">
        <v>4</v>
      </c>
      <c r="F305" s="475" t="s">
        <v>507</v>
      </c>
      <c r="H305" s="474">
        <f>'4-Отчет за собствения капитал'!F34</f>
        <v>66201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39">
        <f t="shared" si="26"/>
        <v>44469</v>
      </c>
      <c r="D306" s="99" t="s">
        <v>468</v>
      </c>
      <c r="E306" s="99">
        <v>5</v>
      </c>
      <c r="F306" s="475" t="s">
        <v>467</v>
      </c>
      <c r="H306" s="474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39">
        <f t="shared" si="26"/>
        <v>44469</v>
      </c>
      <c r="D307" s="99" t="s">
        <v>470</v>
      </c>
      <c r="E307" s="99">
        <v>5</v>
      </c>
      <c r="F307" s="475" t="s">
        <v>469</v>
      </c>
      <c r="H307" s="474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39">
        <f t="shared" si="26"/>
        <v>44469</v>
      </c>
      <c r="D308" s="99" t="s">
        <v>472</v>
      </c>
      <c r="E308" s="99">
        <v>5</v>
      </c>
      <c r="F308" s="475" t="s">
        <v>471</v>
      </c>
      <c r="H308" s="474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39">
        <f t="shared" si="26"/>
        <v>44469</v>
      </c>
      <c r="D309" s="99" t="s">
        <v>474</v>
      </c>
      <c r="E309" s="99">
        <v>5</v>
      </c>
      <c r="F309" s="475" t="s">
        <v>473</v>
      </c>
      <c r="H309" s="474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39">
        <f t="shared" si="26"/>
        <v>44469</v>
      </c>
      <c r="D310" s="99" t="s">
        <v>476</v>
      </c>
      <c r="E310" s="99">
        <v>5</v>
      </c>
      <c r="F310" s="475" t="s">
        <v>475</v>
      </c>
      <c r="H310" s="474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39">
        <f t="shared" si="26"/>
        <v>44469</v>
      </c>
      <c r="D311" s="99" t="s">
        <v>478</v>
      </c>
      <c r="E311" s="99">
        <v>5</v>
      </c>
      <c r="F311" s="475" t="s">
        <v>477</v>
      </c>
      <c r="H311" s="474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39">
        <f t="shared" si="26"/>
        <v>44469</v>
      </c>
      <c r="D312" s="99" t="s">
        <v>480</v>
      </c>
      <c r="E312" s="99">
        <v>5</v>
      </c>
      <c r="F312" s="475" t="s">
        <v>479</v>
      </c>
      <c r="H312" s="474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39">
        <f t="shared" si="26"/>
        <v>44469</v>
      </c>
      <c r="D313" s="99" t="s">
        <v>482</v>
      </c>
      <c r="E313" s="99">
        <v>5</v>
      </c>
      <c r="F313" s="475" t="s">
        <v>481</v>
      </c>
      <c r="H313" s="474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39">
        <f t="shared" si="26"/>
        <v>44469</v>
      </c>
      <c r="D314" s="99" t="s">
        <v>484</v>
      </c>
      <c r="E314" s="99">
        <v>5</v>
      </c>
      <c r="F314" s="475" t="s">
        <v>483</v>
      </c>
      <c r="H314" s="474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39">
        <f t="shared" si="26"/>
        <v>44469</v>
      </c>
      <c r="D315" s="99" t="s">
        <v>486</v>
      </c>
      <c r="E315" s="99">
        <v>5</v>
      </c>
      <c r="F315" s="475" t="s">
        <v>485</v>
      </c>
      <c r="H315" s="474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39">
        <f t="shared" si="26"/>
        <v>44469</v>
      </c>
      <c r="D316" s="99" t="s">
        <v>488</v>
      </c>
      <c r="E316" s="99">
        <v>5</v>
      </c>
      <c r="F316" s="475" t="s">
        <v>487</v>
      </c>
      <c r="H316" s="474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39">
        <f t="shared" si="26"/>
        <v>44469</v>
      </c>
      <c r="D317" s="99" t="s">
        <v>490</v>
      </c>
      <c r="E317" s="99">
        <v>5</v>
      </c>
      <c r="F317" s="475" t="s">
        <v>489</v>
      </c>
      <c r="H317" s="474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39">
        <f t="shared" si="26"/>
        <v>44469</v>
      </c>
      <c r="D318" s="99" t="s">
        <v>492</v>
      </c>
      <c r="E318" s="99">
        <v>5</v>
      </c>
      <c r="F318" s="475" t="s">
        <v>491</v>
      </c>
      <c r="H318" s="474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39">
        <f t="shared" si="26"/>
        <v>44469</v>
      </c>
      <c r="D319" s="99" t="s">
        <v>494</v>
      </c>
      <c r="E319" s="99">
        <v>5</v>
      </c>
      <c r="F319" s="475" t="s">
        <v>493</v>
      </c>
      <c r="H319" s="474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39">
        <f t="shared" si="26"/>
        <v>44469</v>
      </c>
      <c r="D320" s="99" t="s">
        <v>495</v>
      </c>
      <c r="E320" s="99">
        <v>5</v>
      </c>
      <c r="F320" s="475" t="s">
        <v>489</v>
      </c>
      <c r="H320" s="474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39">
        <f t="shared" si="26"/>
        <v>44469</v>
      </c>
      <c r="D321" s="99" t="s">
        <v>496</v>
      </c>
      <c r="E321" s="99">
        <v>5</v>
      </c>
      <c r="F321" s="475" t="s">
        <v>491</v>
      </c>
      <c r="H321" s="474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39">
        <f t="shared" si="26"/>
        <v>44469</v>
      </c>
      <c r="D322" s="99" t="s">
        <v>498</v>
      </c>
      <c r="E322" s="99">
        <v>5</v>
      </c>
      <c r="F322" s="475" t="s">
        <v>497</v>
      </c>
      <c r="H322" s="474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39">
        <f t="shared" si="26"/>
        <v>44469</v>
      </c>
      <c r="D323" s="99" t="s">
        <v>500</v>
      </c>
      <c r="E323" s="99">
        <v>5</v>
      </c>
      <c r="F323" s="475" t="s">
        <v>499</v>
      </c>
      <c r="H323" s="474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39">
        <f t="shared" si="26"/>
        <v>44469</v>
      </c>
      <c r="D324" s="99" t="s">
        <v>502</v>
      </c>
      <c r="E324" s="99">
        <v>5</v>
      </c>
      <c r="F324" s="475" t="s">
        <v>501</v>
      </c>
      <c r="H324" s="474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39">
        <f t="shared" si="26"/>
        <v>44469</v>
      </c>
      <c r="D325" s="99" t="s">
        <v>504</v>
      </c>
      <c r="E325" s="99">
        <v>5</v>
      </c>
      <c r="F325" s="475" t="s">
        <v>503</v>
      </c>
      <c r="H325" s="474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39">
        <f t="shared" si="26"/>
        <v>44469</v>
      </c>
      <c r="D326" s="99" t="s">
        <v>506</v>
      </c>
      <c r="E326" s="99">
        <v>5</v>
      </c>
      <c r="F326" s="475" t="s">
        <v>505</v>
      </c>
      <c r="H326" s="474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39">
        <f t="shared" si="26"/>
        <v>44469</v>
      </c>
      <c r="D327" s="99" t="s">
        <v>508</v>
      </c>
      <c r="E327" s="99">
        <v>5</v>
      </c>
      <c r="F327" s="475" t="s">
        <v>507</v>
      </c>
      <c r="H327" s="474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39">
        <f t="shared" si="26"/>
        <v>44469</v>
      </c>
      <c r="D328" s="99" t="s">
        <v>468</v>
      </c>
      <c r="E328" s="99">
        <v>6</v>
      </c>
      <c r="F328" s="475" t="s">
        <v>467</v>
      </c>
      <c r="H328" s="474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39">
        <f t="shared" si="26"/>
        <v>44469</v>
      </c>
      <c r="D329" s="99" t="s">
        <v>470</v>
      </c>
      <c r="E329" s="99">
        <v>6</v>
      </c>
      <c r="F329" s="475" t="s">
        <v>469</v>
      </c>
      <c r="H329" s="474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39">
        <f t="shared" si="26"/>
        <v>44469</v>
      </c>
      <c r="D330" s="99" t="s">
        <v>472</v>
      </c>
      <c r="E330" s="99">
        <v>6</v>
      </c>
      <c r="F330" s="475" t="s">
        <v>471</v>
      </c>
      <c r="H330" s="474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39">
        <f t="shared" si="26"/>
        <v>44469</v>
      </c>
      <c r="D331" s="99" t="s">
        <v>474</v>
      </c>
      <c r="E331" s="99">
        <v>6</v>
      </c>
      <c r="F331" s="475" t="s">
        <v>473</v>
      </c>
      <c r="H331" s="474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39">
        <f t="shared" si="26"/>
        <v>44469</v>
      </c>
      <c r="D332" s="99" t="s">
        <v>476</v>
      </c>
      <c r="E332" s="99">
        <v>6</v>
      </c>
      <c r="F332" s="475" t="s">
        <v>475</v>
      </c>
      <c r="H332" s="474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39">
        <f t="shared" si="26"/>
        <v>44469</v>
      </c>
      <c r="D333" s="99" t="s">
        <v>478</v>
      </c>
      <c r="E333" s="99">
        <v>6</v>
      </c>
      <c r="F333" s="475" t="s">
        <v>477</v>
      </c>
      <c r="H333" s="474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39">
        <f t="shared" si="26"/>
        <v>44469</v>
      </c>
      <c r="D334" s="99" t="s">
        <v>480</v>
      </c>
      <c r="E334" s="99">
        <v>6</v>
      </c>
      <c r="F334" s="475" t="s">
        <v>479</v>
      </c>
      <c r="H334" s="474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39">
        <f t="shared" si="26"/>
        <v>44469</v>
      </c>
      <c r="D335" s="99" t="s">
        <v>482</v>
      </c>
      <c r="E335" s="99">
        <v>6</v>
      </c>
      <c r="F335" s="475" t="s">
        <v>481</v>
      </c>
      <c r="H335" s="474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39">
        <f t="shared" si="26"/>
        <v>44469</v>
      </c>
      <c r="D336" s="99" t="s">
        <v>484</v>
      </c>
      <c r="E336" s="99">
        <v>6</v>
      </c>
      <c r="F336" s="475" t="s">
        <v>483</v>
      </c>
      <c r="H336" s="474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39">
        <f t="shared" si="26"/>
        <v>44469</v>
      </c>
      <c r="D337" s="99" t="s">
        <v>486</v>
      </c>
      <c r="E337" s="99">
        <v>6</v>
      </c>
      <c r="F337" s="475" t="s">
        <v>485</v>
      </c>
      <c r="H337" s="474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39">
        <f t="shared" si="26"/>
        <v>44469</v>
      </c>
      <c r="D338" s="99" t="s">
        <v>488</v>
      </c>
      <c r="E338" s="99">
        <v>6</v>
      </c>
      <c r="F338" s="475" t="s">
        <v>487</v>
      </c>
      <c r="H338" s="474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39">
        <f t="shared" si="26"/>
        <v>44469</v>
      </c>
      <c r="D339" s="99" t="s">
        <v>490</v>
      </c>
      <c r="E339" s="99">
        <v>6</v>
      </c>
      <c r="F339" s="475" t="s">
        <v>489</v>
      </c>
      <c r="H339" s="474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39">
        <f t="shared" si="26"/>
        <v>44469</v>
      </c>
      <c r="D340" s="99" t="s">
        <v>492</v>
      </c>
      <c r="E340" s="99">
        <v>6</v>
      </c>
      <c r="F340" s="475" t="s">
        <v>491</v>
      </c>
      <c r="H340" s="474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39">
        <f t="shared" si="26"/>
        <v>44469</v>
      </c>
      <c r="D341" s="99" t="s">
        <v>494</v>
      </c>
      <c r="E341" s="99">
        <v>6</v>
      </c>
      <c r="F341" s="475" t="s">
        <v>493</v>
      </c>
      <c r="H341" s="474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39">
        <f t="shared" si="26"/>
        <v>44469</v>
      </c>
      <c r="D342" s="99" t="s">
        <v>495</v>
      </c>
      <c r="E342" s="99">
        <v>6</v>
      </c>
      <c r="F342" s="475" t="s">
        <v>489</v>
      </c>
      <c r="H342" s="474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39">
        <f t="shared" si="26"/>
        <v>44469</v>
      </c>
      <c r="D343" s="99" t="s">
        <v>496</v>
      </c>
      <c r="E343" s="99">
        <v>6</v>
      </c>
      <c r="F343" s="475" t="s">
        <v>491</v>
      </c>
      <c r="H343" s="474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39">
        <f t="shared" si="26"/>
        <v>44469</v>
      </c>
      <c r="D344" s="99" t="s">
        <v>498</v>
      </c>
      <c r="E344" s="99">
        <v>6</v>
      </c>
      <c r="F344" s="475" t="s">
        <v>497</v>
      </c>
      <c r="H344" s="474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39">
        <f t="shared" si="26"/>
        <v>44469</v>
      </c>
      <c r="D345" s="99" t="s">
        <v>500</v>
      </c>
      <c r="E345" s="99">
        <v>6</v>
      </c>
      <c r="F345" s="475" t="s">
        <v>499</v>
      </c>
      <c r="H345" s="474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39">
        <f t="shared" ref="C346:C409" si="29">endDate</f>
        <v>44469</v>
      </c>
      <c r="D346" s="99" t="s">
        <v>502</v>
      </c>
      <c r="E346" s="99">
        <v>6</v>
      </c>
      <c r="F346" s="475" t="s">
        <v>501</v>
      </c>
      <c r="H346" s="474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39">
        <f t="shared" si="29"/>
        <v>44469</v>
      </c>
      <c r="D347" s="99" t="s">
        <v>504</v>
      </c>
      <c r="E347" s="99">
        <v>6</v>
      </c>
      <c r="F347" s="475" t="s">
        <v>503</v>
      </c>
      <c r="H347" s="474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39">
        <f t="shared" si="29"/>
        <v>44469</v>
      </c>
      <c r="D348" s="99" t="s">
        <v>506</v>
      </c>
      <c r="E348" s="99">
        <v>6</v>
      </c>
      <c r="F348" s="475" t="s">
        <v>505</v>
      </c>
      <c r="H348" s="474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39">
        <f t="shared" si="29"/>
        <v>44469</v>
      </c>
      <c r="D349" s="99" t="s">
        <v>508</v>
      </c>
      <c r="E349" s="99">
        <v>6</v>
      </c>
      <c r="F349" s="475" t="s">
        <v>507</v>
      </c>
      <c r="H349" s="474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39">
        <f t="shared" si="29"/>
        <v>44469</v>
      </c>
      <c r="D350" s="99" t="s">
        <v>468</v>
      </c>
      <c r="E350" s="99">
        <v>7</v>
      </c>
      <c r="F350" s="475" t="s">
        <v>467</v>
      </c>
      <c r="H350" s="474">
        <f>'4-Отчет за собствения капитал'!I13</f>
        <v>360770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39">
        <f t="shared" si="29"/>
        <v>44469</v>
      </c>
      <c r="D351" s="99" t="s">
        <v>470</v>
      </c>
      <c r="E351" s="99">
        <v>7</v>
      </c>
      <c r="F351" s="475" t="s">
        <v>469</v>
      </c>
      <c r="H351" s="474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39">
        <f t="shared" si="29"/>
        <v>44469</v>
      </c>
      <c r="D352" s="99" t="s">
        <v>472</v>
      </c>
      <c r="E352" s="99">
        <v>7</v>
      </c>
      <c r="F352" s="475" t="s">
        <v>471</v>
      </c>
      <c r="H352" s="474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39">
        <f t="shared" si="29"/>
        <v>44469</v>
      </c>
      <c r="D353" s="99" t="s">
        <v>474</v>
      </c>
      <c r="E353" s="99">
        <v>7</v>
      </c>
      <c r="F353" s="475" t="s">
        <v>473</v>
      </c>
      <c r="H353" s="474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39">
        <f t="shared" si="29"/>
        <v>44469</v>
      </c>
      <c r="D354" s="99" t="s">
        <v>476</v>
      </c>
      <c r="E354" s="99">
        <v>7</v>
      </c>
      <c r="F354" s="475" t="s">
        <v>475</v>
      </c>
      <c r="H354" s="474">
        <f>'4-Отчет за собствения капитал'!I17</f>
        <v>360770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39">
        <f t="shared" si="29"/>
        <v>44469</v>
      </c>
      <c r="D355" s="99" t="s">
        <v>478</v>
      </c>
      <c r="E355" s="99">
        <v>7</v>
      </c>
      <c r="F355" s="475" t="s">
        <v>477</v>
      </c>
      <c r="H355" s="474">
        <f>'4-Отчет за собствения капитал'!I18</f>
        <v>50528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39">
        <f t="shared" si="29"/>
        <v>44469</v>
      </c>
      <c r="D356" s="99" t="s">
        <v>480</v>
      </c>
      <c r="E356" s="99">
        <v>7</v>
      </c>
      <c r="F356" s="475" t="s">
        <v>479</v>
      </c>
      <c r="H356" s="474">
        <f>'4-Отчет за собствения капитал'!I19</f>
        <v>-2866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39">
        <f t="shared" si="29"/>
        <v>44469</v>
      </c>
      <c r="D357" s="99" t="s">
        <v>482</v>
      </c>
      <c r="E357" s="99">
        <v>7</v>
      </c>
      <c r="F357" s="475" t="s">
        <v>481</v>
      </c>
      <c r="H357" s="474">
        <f>'4-Отчет за собствения капитал'!I20</f>
        <v>0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39">
        <f t="shared" si="29"/>
        <v>44469</v>
      </c>
      <c r="D358" s="99" t="s">
        <v>484</v>
      </c>
      <c r="E358" s="99">
        <v>7</v>
      </c>
      <c r="F358" s="475" t="s">
        <v>483</v>
      </c>
      <c r="H358" s="474">
        <f>'4-Отчет за собствения капитал'!I21</f>
        <v>-2866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39">
        <f t="shared" si="29"/>
        <v>44469</v>
      </c>
      <c r="D359" s="99" t="s">
        <v>486</v>
      </c>
      <c r="E359" s="99">
        <v>7</v>
      </c>
      <c r="F359" s="475" t="s">
        <v>485</v>
      </c>
      <c r="H359" s="474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39">
        <f t="shared" si="29"/>
        <v>44469</v>
      </c>
      <c r="D360" s="99" t="s">
        <v>488</v>
      </c>
      <c r="E360" s="99">
        <v>7</v>
      </c>
      <c r="F360" s="475" t="s">
        <v>487</v>
      </c>
      <c r="H360" s="474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39">
        <f t="shared" si="29"/>
        <v>44469</v>
      </c>
      <c r="D361" s="99" t="s">
        <v>490</v>
      </c>
      <c r="E361" s="99">
        <v>7</v>
      </c>
      <c r="F361" s="475" t="s">
        <v>489</v>
      </c>
      <c r="H361" s="474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39">
        <f t="shared" si="29"/>
        <v>44469</v>
      </c>
      <c r="D362" s="99" t="s">
        <v>492</v>
      </c>
      <c r="E362" s="99">
        <v>7</v>
      </c>
      <c r="F362" s="475" t="s">
        <v>491</v>
      </c>
      <c r="H362" s="474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39">
        <f t="shared" si="29"/>
        <v>44469</v>
      </c>
      <c r="D363" s="99" t="s">
        <v>494</v>
      </c>
      <c r="E363" s="99">
        <v>7</v>
      </c>
      <c r="F363" s="475" t="s">
        <v>493</v>
      </c>
      <c r="H363" s="474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39">
        <f t="shared" si="29"/>
        <v>44469</v>
      </c>
      <c r="D364" s="99" t="s">
        <v>495</v>
      </c>
      <c r="E364" s="99">
        <v>7</v>
      </c>
      <c r="F364" s="475" t="s">
        <v>489</v>
      </c>
      <c r="H364" s="474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39">
        <f t="shared" si="29"/>
        <v>44469</v>
      </c>
      <c r="D365" s="99" t="s">
        <v>496</v>
      </c>
      <c r="E365" s="99">
        <v>7</v>
      </c>
      <c r="F365" s="475" t="s">
        <v>491</v>
      </c>
      <c r="H365" s="474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39">
        <f t="shared" si="29"/>
        <v>44469</v>
      </c>
      <c r="D366" s="99" t="s">
        <v>498</v>
      </c>
      <c r="E366" s="99">
        <v>7</v>
      </c>
      <c r="F366" s="475" t="s">
        <v>497</v>
      </c>
      <c r="H366" s="474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39">
        <f t="shared" si="29"/>
        <v>44469</v>
      </c>
      <c r="D367" s="99" t="s">
        <v>500</v>
      </c>
      <c r="E367" s="99">
        <v>7</v>
      </c>
      <c r="F367" s="475" t="s">
        <v>499</v>
      </c>
      <c r="H367" s="474">
        <f>'4-Отчет за собствения капитал'!I30</f>
        <v>1750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39">
        <f t="shared" si="29"/>
        <v>44469</v>
      </c>
      <c r="D368" s="99" t="s">
        <v>502</v>
      </c>
      <c r="E368" s="99">
        <v>7</v>
      </c>
      <c r="F368" s="475" t="s">
        <v>501</v>
      </c>
      <c r="H368" s="474">
        <f>'4-Отчет за собствения капитал'!I31</f>
        <v>410182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39">
        <f t="shared" si="29"/>
        <v>44469</v>
      </c>
      <c r="D369" s="99" t="s">
        <v>504</v>
      </c>
      <c r="E369" s="99">
        <v>7</v>
      </c>
      <c r="F369" s="475" t="s">
        <v>503</v>
      </c>
      <c r="H369" s="474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39">
        <f t="shared" si="29"/>
        <v>44469</v>
      </c>
      <c r="D370" s="99" t="s">
        <v>506</v>
      </c>
      <c r="E370" s="99">
        <v>7</v>
      </c>
      <c r="F370" s="475" t="s">
        <v>505</v>
      </c>
      <c r="H370" s="474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39">
        <f t="shared" si="29"/>
        <v>44469</v>
      </c>
      <c r="D371" s="99" t="s">
        <v>508</v>
      </c>
      <c r="E371" s="99">
        <v>7</v>
      </c>
      <c r="F371" s="475" t="s">
        <v>507</v>
      </c>
      <c r="H371" s="474">
        <f>'4-Отчет за собствения капитал'!I34</f>
        <v>410182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39">
        <f t="shared" si="29"/>
        <v>44469</v>
      </c>
      <c r="D372" s="99" t="s">
        <v>468</v>
      </c>
      <c r="E372" s="99">
        <v>8</v>
      </c>
      <c r="F372" s="475" t="s">
        <v>467</v>
      </c>
      <c r="H372" s="474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39">
        <f t="shared" si="29"/>
        <v>44469</v>
      </c>
      <c r="D373" s="99" t="s">
        <v>470</v>
      </c>
      <c r="E373" s="99">
        <v>8</v>
      </c>
      <c r="F373" s="475" t="s">
        <v>469</v>
      </c>
      <c r="H373" s="474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39">
        <f t="shared" si="29"/>
        <v>44469</v>
      </c>
      <c r="D374" s="99" t="s">
        <v>472</v>
      </c>
      <c r="E374" s="99">
        <v>8</v>
      </c>
      <c r="F374" s="475" t="s">
        <v>471</v>
      </c>
      <c r="H374" s="474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39">
        <f t="shared" si="29"/>
        <v>44469</v>
      </c>
      <c r="D375" s="99" t="s">
        <v>474</v>
      </c>
      <c r="E375" s="99">
        <v>8</v>
      </c>
      <c r="F375" s="475" t="s">
        <v>473</v>
      </c>
      <c r="H375" s="474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39">
        <f t="shared" si="29"/>
        <v>44469</v>
      </c>
      <c r="D376" s="99" t="s">
        <v>476</v>
      </c>
      <c r="E376" s="99">
        <v>8</v>
      </c>
      <c r="F376" s="475" t="s">
        <v>475</v>
      </c>
      <c r="H376" s="474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39">
        <f t="shared" si="29"/>
        <v>44469</v>
      </c>
      <c r="D377" s="99" t="s">
        <v>478</v>
      </c>
      <c r="E377" s="99">
        <v>8</v>
      </c>
      <c r="F377" s="475" t="s">
        <v>477</v>
      </c>
      <c r="H377" s="474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39">
        <f t="shared" si="29"/>
        <v>44469</v>
      </c>
      <c r="D378" s="99" t="s">
        <v>480</v>
      </c>
      <c r="E378" s="99">
        <v>8</v>
      </c>
      <c r="F378" s="475" t="s">
        <v>479</v>
      </c>
      <c r="H378" s="474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39">
        <f t="shared" si="29"/>
        <v>44469</v>
      </c>
      <c r="D379" s="99" t="s">
        <v>482</v>
      </c>
      <c r="E379" s="99">
        <v>8</v>
      </c>
      <c r="F379" s="475" t="s">
        <v>481</v>
      </c>
      <c r="H379" s="474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39">
        <f t="shared" si="29"/>
        <v>44469</v>
      </c>
      <c r="D380" s="99" t="s">
        <v>484</v>
      </c>
      <c r="E380" s="99">
        <v>8</v>
      </c>
      <c r="F380" s="475" t="s">
        <v>483</v>
      </c>
      <c r="H380" s="474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39">
        <f t="shared" si="29"/>
        <v>44469</v>
      </c>
      <c r="D381" s="99" t="s">
        <v>486</v>
      </c>
      <c r="E381" s="99">
        <v>8</v>
      </c>
      <c r="F381" s="475" t="s">
        <v>485</v>
      </c>
      <c r="H381" s="474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39">
        <f t="shared" si="29"/>
        <v>44469</v>
      </c>
      <c r="D382" s="99" t="s">
        <v>488</v>
      </c>
      <c r="E382" s="99">
        <v>8</v>
      </c>
      <c r="F382" s="475" t="s">
        <v>487</v>
      </c>
      <c r="H382" s="474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39">
        <f t="shared" si="29"/>
        <v>44469</v>
      </c>
      <c r="D383" s="99" t="s">
        <v>490</v>
      </c>
      <c r="E383" s="99">
        <v>8</v>
      </c>
      <c r="F383" s="475" t="s">
        <v>489</v>
      </c>
      <c r="H383" s="474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39">
        <f t="shared" si="29"/>
        <v>44469</v>
      </c>
      <c r="D384" s="99" t="s">
        <v>492</v>
      </c>
      <c r="E384" s="99">
        <v>8</v>
      </c>
      <c r="F384" s="475" t="s">
        <v>491</v>
      </c>
      <c r="H384" s="474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39">
        <f t="shared" si="29"/>
        <v>44469</v>
      </c>
      <c r="D385" s="99" t="s">
        <v>494</v>
      </c>
      <c r="E385" s="99">
        <v>8</v>
      </c>
      <c r="F385" s="475" t="s">
        <v>493</v>
      </c>
      <c r="H385" s="474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39">
        <f t="shared" si="29"/>
        <v>44469</v>
      </c>
      <c r="D386" s="99" t="s">
        <v>495</v>
      </c>
      <c r="E386" s="99">
        <v>8</v>
      </c>
      <c r="F386" s="475" t="s">
        <v>489</v>
      </c>
      <c r="H386" s="474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39">
        <f t="shared" si="29"/>
        <v>44469</v>
      </c>
      <c r="D387" s="99" t="s">
        <v>496</v>
      </c>
      <c r="E387" s="99">
        <v>8</v>
      </c>
      <c r="F387" s="475" t="s">
        <v>491</v>
      </c>
      <c r="H387" s="474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39">
        <f t="shared" si="29"/>
        <v>44469</v>
      </c>
      <c r="D388" s="99" t="s">
        <v>498</v>
      </c>
      <c r="E388" s="99">
        <v>8</v>
      </c>
      <c r="F388" s="475" t="s">
        <v>497</v>
      </c>
      <c r="H388" s="474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39">
        <f t="shared" si="29"/>
        <v>44469</v>
      </c>
      <c r="D389" s="99" t="s">
        <v>500</v>
      </c>
      <c r="E389" s="99">
        <v>8</v>
      </c>
      <c r="F389" s="475" t="s">
        <v>499</v>
      </c>
      <c r="H389" s="474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39">
        <f t="shared" si="29"/>
        <v>44469</v>
      </c>
      <c r="D390" s="99" t="s">
        <v>502</v>
      </c>
      <c r="E390" s="99">
        <v>8</v>
      </c>
      <c r="F390" s="475" t="s">
        <v>501</v>
      </c>
      <c r="H390" s="474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39">
        <f t="shared" si="29"/>
        <v>44469</v>
      </c>
      <c r="D391" s="99" t="s">
        <v>504</v>
      </c>
      <c r="E391" s="99">
        <v>8</v>
      </c>
      <c r="F391" s="475" t="s">
        <v>503</v>
      </c>
      <c r="H391" s="474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39">
        <f t="shared" si="29"/>
        <v>44469</v>
      </c>
      <c r="D392" s="99" t="s">
        <v>506</v>
      </c>
      <c r="E392" s="99">
        <v>8</v>
      </c>
      <c r="F392" s="475" t="s">
        <v>505</v>
      </c>
      <c r="H392" s="474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39">
        <f t="shared" si="29"/>
        <v>44469</v>
      </c>
      <c r="D393" s="99" t="s">
        <v>508</v>
      </c>
      <c r="E393" s="99">
        <v>8</v>
      </c>
      <c r="F393" s="475" t="s">
        <v>507</v>
      </c>
      <c r="H393" s="474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39">
        <f t="shared" si="29"/>
        <v>44469</v>
      </c>
      <c r="D394" s="99" t="s">
        <v>468</v>
      </c>
      <c r="E394" s="99">
        <v>9</v>
      </c>
      <c r="F394" s="475" t="s">
        <v>467</v>
      </c>
      <c r="H394" s="474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39">
        <f t="shared" si="29"/>
        <v>44469</v>
      </c>
      <c r="D395" s="99" t="s">
        <v>470</v>
      </c>
      <c r="E395" s="99">
        <v>9</v>
      </c>
      <c r="F395" s="475" t="s">
        <v>469</v>
      </c>
      <c r="H395" s="474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39">
        <f t="shared" si="29"/>
        <v>44469</v>
      </c>
      <c r="D396" s="99" t="s">
        <v>472</v>
      </c>
      <c r="E396" s="99">
        <v>9</v>
      </c>
      <c r="F396" s="475" t="s">
        <v>471</v>
      </c>
      <c r="H396" s="474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39">
        <f t="shared" si="29"/>
        <v>44469</v>
      </c>
      <c r="D397" s="99" t="s">
        <v>474</v>
      </c>
      <c r="E397" s="99">
        <v>9</v>
      </c>
      <c r="F397" s="475" t="s">
        <v>473</v>
      </c>
      <c r="H397" s="474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39">
        <f t="shared" si="29"/>
        <v>44469</v>
      </c>
      <c r="D398" s="99" t="s">
        <v>476</v>
      </c>
      <c r="E398" s="99">
        <v>9</v>
      </c>
      <c r="F398" s="475" t="s">
        <v>475</v>
      </c>
      <c r="H398" s="474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39">
        <f t="shared" si="29"/>
        <v>44469</v>
      </c>
      <c r="D399" s="99" t="s">
        <v>478</v>
      </c>
      <c r="E399" s="99">
        <v>9</v>
      </c>
      <c r="F399" s="475" t="s">
        <v>477</v>
      </c>
      <c r="H399" s="474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39">
        <f t="shared" si="29"/>
        <v>44469</v>
      </c>
      <c r="D400" s="99" t="s">
        <v>480</v>
      </c>
      <c r="E400" s="99">
        <v>9</v>
      </c>
      <c r="F400" s="475" t="s">
        <v>479</v>
      </c>
      <c r="H400" s="474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39">
        <f t="shared" si="29"/>
        <v>44469</v>
      </c>
      <c r="D401" s="99" t="s">
        <v>482</v>
      </c>
      <c r="E401" s="99">
        <v>9</v>
      </c>
      <c r="F401" s="475" t="s">
        <v>481</v>
      </c>
      <c r="H401" s="474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39">
        <f t="shared" si="29"/>
        <v>44469</v>
      </c>
      <c r="D402" s="99" t="s">
        <v>484</v>
      </c>
      <c r="E402" s="99">
        <v>9</v>
      </c>
      <c r="F402" s="475" t="s">
        <v>483</v>
      </c>
      <c r="H402" s="474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39">
        <f t="shared" si="29"/>
        <v>44469</v>
      </c>
      <c r="D403" s="99" t="s">
        <v>486</v>
      </c>
      <c r="E403" s="99">
        <v>9</v>
      </c>
      <c r="F403" s="475" t="s">
        <v>485</v>
      </c>
      <c r="H403" s="474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39">
        <f t="shared" si="29"/>
        <v>44469</v>
      </c>
      <c r="D404" s="99" t="s">
        <v>488</v>
      </c>
      <c r="E404" s="99">
        <v>9</v>
      </c>
      <c r="F404" s="475" t="s">
        <v>487</v>
      </c>
      <c r="H404" s="474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39">
        <f t="shared" si="29"/>
        <v>44469</v>
      </c>
      <c r="D405" s="99" t="s">
        <v>490</v>
      </c>
      <c r="E405" s="99">
        <v>9</v>
      </c>
      <c r="F405" s="475" t="s">
        <v>489</v>
      </c>
      <c r="H405" s="474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39">
        <f t="shared" si="29"/>
        <v>44469</v>
      </c>
      <c r="D406" s="99" t="s">
        <v>492</v>
      </c>
      <c r="E406" s="99">
        <v>9</v>
      </c>
      <c r="F406" s="475" t="s">
        <v>491</v>
      </c>
      <c r="H406" s="474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39">
        <f t="shared" si="29"/>
        <v>44469</v>
      </c>
      <c r="D407" s="99" t="s">
        <v>494</v>
      </c>
      <c r="E407" s="99">
        <v>9</v>
      </c>
      <c r="F407" s="475" t="s">
        <v>493</v>
      </c>
      <c r="H407" s="474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39">
        <f t="shared" si="29"/>
        <v>44469</v>
      </c>
      <c r="D408" s="99" t="s">
        <v>495</v>
      </c>
      <c r="E408" s="99">
        <v>9</v>
      </c>
      <c r="F408" s="475" t="s">
        <v>489</v>
      </c>
      <c r="H408" s="474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39">
        <f t="shared" si="29"/>
        <v>44469</v>
      </c>
      <c r="D409" s="99" t="s">
        <v>496</v>
      </c>
      <c r="E409" s="99">
        <v>9</v>
      </c>
      <c r="F409" s="475" t="s">
        <v>491</v>
      </c>
      <c r="H409" s="474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39">
        <f t="shared" ref="C410:C459" si="32">endDate</f>
        <v>44469</v>
      </c>
      <c r="D410" s="99" t="s">
        <v>498</v>
      </c>
      <c r="E410" s="99">
        <v>9</v>
      </c>
      <c r="F410" s="475" t="s">
        <v>497</v>
      </c>
      <c r="H410" s="474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39">
        <f t="shared" si="32"/>
        <v>44469</v>
      </c>
      <c r="D411" s="99" t="s">
        <v>500</v>
      </c>
      <c r="E411" s="99">
        <v>9</v>
      </c>
      <c r="F411" s="475" t="s">
        <v>499</v>
      </c>
      <c r="H411" s="474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39">
        <f t="shared" si="32"/>
        <v>44469</v>
      </c>
      <c r="D412" s="99" t="s">
        <v>502</v>
      </c>
      <c r="E412" s="99">
        <v>9</v>
      </c>
      <c r="F412" s="475" t="s">
        <v>501</v>
      </c>
      <c r="H412" s="474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39">
        <f t="shared" si="32"/>
        <v>44469</v>
      </c>
      <c r="D413" s="99" t="s">
        <v>504</v>
      </c>
      <c r="E413" s="99">
        <v>9</v>
      </c>
      <c r="F413" s="475" t="s">
        <v>503</v>
      </c>
      <c r="H413" s="474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39">
        <f t="shared" si="32"/>
        <v>44469</v>
      </c>
      <c r="D414" s="99" t="s">
        <v>506</v>
      </c>
      <c r="E414" s="99">
        <v>9</v>
      </c>
      <c r="F414" s="475" t="s">
        <v>505</v>
      </c>
      <c r="H414" s="474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39">
        <f t="shared" si="32"/>
        <v>44469</v>
      </c>
      <c r="D415" s="99" t="s">
        <v>508</v>
      </c>
      <c r="E415" s="99">
        <v>9</v>
      </c>
      <c r="F415" s="475" t="s">
        <v>507</v>
      </c>
      <c r="H415" s="474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39">
        <f t="shared" si="32"/>
        <v>44469</v>
      </c>
      <c r="D416" s="99" t="s">
        <v>468</v>
      </c>
      <c r="E416" s="99">
        <v>10</v>
      </c>
      <c r="F416" s="475" t="s">
        <v>467</v>
      </c>
      <c r="H416" s="474">
        <f>'4-Отчет за собствения капитал'!L13</f>
        <v>553269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39">
        <f t="shared" si="32"/>
        <v>44469</v>
      </c>
      <c r="D417" s="99" t="s">
        <v>470</v>
      </c>
      <c r="E417" s="99">
        <v>10</v>
      </c>
      <c r="F417" s="475" t="s">
        <v>469</v>
      </c>
      <c r="H417" s="474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39">
        <f t="shared" si="32"/>
        <v>44469</v>
      </c>
      <c r="D418" s="99" t="s">
        <v>472</v>
      </c>
      <c r="E418" s="99">
        <v>10</v>
      </c>
      <c r="F418" s="475" t="s">
        <v>471</v>
      </c>
      <c r="H418" s="474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39">
        <f t="shared" si="32"/>
        <v>44469</v>
      </c>
      <c r="D419" s="99" t="s">
        <v>474</v>
      </c>
      <c r="E419" s="99">
        <v>10</v>
      </c>
      <c r="F419" s="475" t="s">
        <v>473</v>
      </c>
      <c r="H419" s="474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39">
        <f t="shared" si="32"/>
        <v>44469</v>
      </c>
      <c r="D420" s="99" t="s">
        <v>476</v>
      </c>
      <c r="E420" s="99">
        <v>10</v>
      </c>
      <c r="F420" s="475" t="s">
        <v>475</v>
      </c>
      <c r="H420" s="474">
        <f>'4-Отчет за собствения капитал'!L17</f>
        <v>553269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39">
        <f t="shared" si="32"/>
        <v>44469</v>
      </c>
      <c r="D421" s="99" t="s">
        <v>478</v>
      </c>
      <c r="E421" s="99">
        <v>10</v>
      </c>
      <c r="F421" s="475" t="s">
        <v>477</v>
      </c>
      <c r="H421" s="474">
        <f>'4-Отчет за собствения капитал'!L18</f>
        <v>50528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39">
        <f t="shared" si="32"/>
        <v>44469</v>
      </c>
      <c r="D422" s="99" t="s">
        <v>480</v>
      </c>
      <c r="E422" s="99">
        <v>10</v>
      </c>
      <c r="F422" s="475" t="s">
        <v>479</v>
      </c>
      <c r="H422" s="474">
        <f>'4-Отчет за собствения капитал'!L19</f>
        <v>0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39">
        <f t="shared" si="32"/>
        <v>44469</v>
      </c>
      <c r="D423" s="99" t="s">
        <v>482</v>
      </c>
      <c r="E423" s="99">
        <v>10</v>
      </c>
      <c r="F423" s="475" t="s">
        <v>481</v>
      </c>
      <c r="H423" s="474">
        <f>'4-Отчет за собствения капитал'!L20</f>
        <v>0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39">
        <f t="shared" si="32"/>
        <v>44469</v>
      </c>
      <c r="D424" s="99" t="s">
        <v>484</v>
      </c>
      <c r="E424" s="99">
        <v>10</v>
      </c>
      <c r="F424" s="475" t="s">
        <v>483</v>
      </c>
      <c r="H424" s="474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39">
        <f t="shared" si="32"/>
        <v>44469</v>
      </c>
      <c r="D425" s="99" t="s">
        <v>486</v>
      </c>
      <c r="E425" s="99">
        <v>10</v>
      </c>
      <c r="F425" s="475" t="s">
        <v>485</v>
      </c>
      <c r="H425" s="474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39">
        <f t="shared" si="32"/>
        <v>44469</v>
      </c>
      <c r="D426" s="99" t="s">
        <v>488</v>
      </c>
      <c r="E426" s="99">
        <v>10</v>
      </c>
      <c r="F426" s="475" t="s">
        <v>487</v>
      </c>
      <c r="H426" s="474">
        <f>'4-Отчет за собствения капитал'!L23</f>
        <v>-52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39">
        <f t="shared" si="32"/>
        <v>44469</v>
      </c>
      <c r="D427" s="99" t="s">
        <v>490</v>
      </c>
      <c r="E427" s="99">
        <v>10</v>
      </c>
      <c r="F427" s="475" t="s">
        <v>489</v>
      </c>
      <c r="H427" s="474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39">
        <f t="shared" si="32"/>
        <v>44469</v>
      </c>
      <c r="D428" s="99" t="s">
        <v>492</v>
      </c>
      <c r="E428" s="99">
        <v>10</v>
      </c>
      <c r="F428" s="475" t="s">
        <v>491</v>
      </c>
      <c r="H428" s="474">
        <f>'4-Отчет за собствения капитал'!L25</f>
        <v>52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39">
        <f t="shared" si="32"/>
        <v>44469</v>
      </c>
      <c r="D429" s="99" t="s">
        <v>494</v>
      </c>
      <c r="E429" s="99">
        <v>10</v>
      </c>
      <c r="F429" s="475" t="s">
        <v>493</v>
      </c>
      <c r="H429" s="474">
        <f>'4-Отчет за собствения капитал'!L26</f>
        <v>-149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39">
        <f t="shared" si="32"/>
        <v>44469</v>
      </c>
      <c r="D430" s="99" t="s">
        <v>495</v>
      </c>
      <c r="E430" s="99">
        <v>10</v>
      </c>
      <c r="F430" s="475" t="s">
        <v>489</v>
      </c>
      <c r="H430" s="474">
        <f>'4-Отчет за собствения капитал'!L27</f>
        <v>742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39">
        <f t="shared" si="32"/>
        <v>44469</v>
      </c>
      <c r="D431" s="99" t="s">
        <v>496</v>
      </c>
      <c r="E431" s="99">
        <v>10</v>
      </c>
      <c r="F431" s="475" t="s">
        <v>491</v>
      </c>
      <c r="H431" s="474">
        <f>'4-Отчет за собствения капитал'!L28</f>
        <v>891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39">
        <f t="shared" si="32"/>
        <v>44469</v>
      </c>
      <c r="D432" s="99" t="s">
        <v>498</v>
      </c>
      <c r="E432" s="99">
        <v>10</v>
      </c>
      <c r="F432" s="475" t="s">
        <v>497</v>
      </c>
      <c r="H432" s="474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39">
        <f t="shared" si="32"/>
        <v>44469</v>
      </c>
      <c r="D433" s="99" t="s">
        <v>500</v>
      </c>
      <c r="E433" s="99">
        <v>10</v>
      </c>
      <c r="F433" s="475" t="s">
        <v>499</v>
      </c>
      <c r="H433" s="474">
        <f>'4-Отчет за собствения капитал'!L30</f>
        <v>-2172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39">
        <f t="shared" si="32"/>
        <v>44469</v>
      </c>
      <c r="D434" s="99" t="s">
        <v>502</v>
      </c>
      <c r="E434" s="99">
        <v>10</v>
      </c>
      <c r="F434" s="475" t="s">
        <v>501</v>
      </c>
      <c r="H434" s="474">
        <f>'4-Отчет за собствения капитал'!L31</f>
        <v>601424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39">
        <f t="shared" si="32"/>
        <v>44469</v>
      </c>
      <c r="D435" s="99" t="s">
        <v>504</v>
      </c>
      <c r="E435" s="99">
        <v>10</v>
      </c>
      <c r="F435" s="475" t="s">
        <v>503</v>
      </c>
      <c r="H435" s="474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39">
        <f t="shared" si="32"/>
        <v>44469</v>
      </c>
      <c r="D436" s="99" t="s">
        <v>506</v>
      </c>
      <c r="E436" s="99">
        <v>10</v>
      </c>
      <c r="F436" s="475" t="s">
        <v>505</v>
      </c>
      <c r="H436" s="474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39">
        <f t="shared" si="32"/>
        <v>44469</v>
      </c>
      <c r="D437" s="99" t="s">
        <v>508</v>
      </c>
      <c r="E437" s="99">
        <v>10</v>
      </c>
      <c r="F437" s="475" t="s">
        <v>507</v>
      </c>
      <c r="H437" s="474">
        <f>'4-Отчет за собствения капитал'!L34</f>
        <v>601424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39">
        <f t="shared" si="32"/>
        <v>44469</v>
      </c>
      <c r="D438" s="99" t="s">
        <v>468</v>
      </c>
      <c r="E438" s="99">
        <v>11</v>
      </c>
      <c r="F438" s="475" t="s">
        <v>467</v>
      </c>
      <c r="H438" s="474">
        <f>'4-Отчет за собствения капитал'!M13</f>
        <v>13326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39">
        <f t="shared" si="32"/>
        <v>44469</v>
      </c>
      <c r="D439" s="99" t="s">
        <v>470</v>
      </c>
      <c r="E439" s="99">
        <v>11</v>
      </c>
      <c r="F439" s="475" t="s">
        <v>469</v>
      </c>
      <c r="H439" s="474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39">
        <f t="shared" si="32"/>
        <v>44469</v>
      </c>
      <c r="D440" s="99" t="s">
        <v>472</v>
      </c>
      <c r="E440" s="99">
        <v>11</v>
      </c>
      <c r="F440" s="475" t="s">
        <v>471</v>
      </c>
      <c r="H440" s="474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39">
        <f t="shared" si="32"/>
        <v>44469</v>
      </c>
      <c r="D441" s="99" t="s">
        <v>474</v>
      </c>
      <c r="E441" s="99">
        <v>11</v>
      </c>
      <c r="F441" s="475" t="s">
        <v>473</v>
      </c>
      <c r="H441" s="474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39">
        <f t="shared" si="32"/>
        <v>44469</v>
      </c>
      <c r="D442" s="99" t="s">
        <v>476</v>
      </c>
      <c r="E442" s="99">
        <v>11</v>
      </c>
      <c r="F442" s="475" t="s">
        <v>475</v>
      </c>
      <c r="H442" s="474">
        <f>'4-Отчет за собствения капитал'!M17</f>
        <v>13326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39">
        <f t="shared" si="32"/>
        <v>44469</v>
      </c>
      <c r="D443" s="99" t="s">
        <v>478</v>
      </c>
      <c r="E443" s="99">
        <v>11</v>
      </c>
      <c r="F443" s="475" t="s">
        <v>477</v>
      </c>
      <c r="H443" s="474">
        <f>'4-Отчет за собствения капитал'!M18</f>
        <v>2969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39">
        <f t="shared" si="32"/>
        <v>44469</v>
      </c>
      <c r="D444" s="99" t="s">
        <v>480</v>
      </c>
      <c r="E444" s="99">
        <v>11</v>
      </c>
      <c r="F444" s="475" t="s">
        <v>479</v>
      </c>
      <c r="H444" s="474">
        <f>'4-Отчет за собствения капитал'!M19</f>
        <v>0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39">
        <f t="shared" si="32"/>
        <v>44469</v>
      </c>
      <c r="D445" s="99" t="s">
        <v>482</v>
      </c>
      <c r="E445" s="99">
        <v>11</v>
      </c>
      <c r="F445" s="475" t="s">
        <v>481</v>
      </c>
      <c r="H445" s="474">
        <f>'4-Отчет за собствения капитал'!M20</f>
        <v>0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39">
        <f t="shared" si="32"/>
        <v>44469</v>
      </c>
      <c r="D446" s="99" t="s">
        <v>484</v>
      </c>
      <c r="E446" s="99">
        <v>11</v>
      </c>
      <c r="F446" s="475" t="s">
        <v>483</v>
      </c>
      <c r="H446" s="474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39">
        <f t="shared" si="32"/>
        <v>44469</v>
      </c>
      <c r="D447" s="99" t="s">
        <v>486</v>
      </c>
      <c r="E447" s="99">
        <v>11</v>
      </c>
      <c r="F447" s="475" t="s">
        <v>485</v>
      </c>
      <c r="H447" s="474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39">
        <f t="shared" si="32"/>
        <v>44469</v>
      </c>
      <c r="D448" s="99" t="s">
        <v>488</v>
      </c>
      <c r="E448" s="99">
        <v>11</v>
      </c>
      <c r="F448" s="475" t="s">
        <v>487</v>
      </c>
      <c r="H448" s="474">
        <f>'4-Отчет за собствения капитал'!M23</f>
        <v>-16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39">
        <f t="shared" si="32"/>
        <v>44469</v>
      </c>
      <c r="D449" s="99" t="s">
        <v>490</v>
      </c>
      <c r="E449" s="99">
        <v>11</v>
      </c>
      <c r="F449" s="475" t="s">
        <v>489</v>
      </c>
      <c r="H449" s="474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39">
        <f t="shared" si="32"/>
        <v>44469</v>
      </c>
      <c r="D450" s="99" t="s">
        <v>492</v>
      </c>
      <c r="E450" s="99">
        <v>11</v>
      </c>
      <c r="F450" s="475" t="s">
        <v>491</v>
      </c>
      <c r="H450" s="474">
        <f>'4-Отчет за собствения капитал'!M25</f>
        <v>16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39">
        <f t="shared" si="32"/>
        <v>44469</v>
      </c>
      <c r="D451" s="99" t="s">
        <v>494</v>
      </c>
      <c r="E451" s="99">
        <v>11</v>
      </c>
      <c r="F451" s="475" t="s">
        <v>493</v>
      </c>
      <c r="H451" s="474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39">
        <f t="shared" si="32"/>
        <v>44469</v>
      </c>
      <c r="D452" s="99" t="s">
        <v>495</v>
      </c>
      <c r="E452" s="99">
        <v>11</v>
      </c>
      <c r="F452" s="475" t="s">
        <v>489</v>
      </c>
      <c r="H452" s="474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39">
        <f t="shared" si="32"/>
        <v>44469</v>
      </c>
      <c r="D453" s="99" t="s">
        <v>496</v>
      </c>
      <c r="E453" s="99">
        <v>11</v>
      </c>
      <c r="F453" s="475" t="s">
        <v>491</v>
      </c>
      <c r="H453" s="474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39">
        <f t="shared" si="32"/>
        <v>44469</v>
      </c>
      <c r="D454" s="99" t="s">
        <v>498</v>
      </c>
      <c r="E454" s="99">
        <v>11</v>
      </c>
      <c r="F454" s="475" t="s">
        <v>497</v>
      </c>
      <c r="H454" s="474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39">
        <f t="shared" si="32"/>
        <v>44469</v>
      </c>
      <c r="D455" s="99" t="s">
        <v>500</v>
      </c>
      <c r="E455" s="99">
        <v>11</v>
      </c>
      <c r="F455" s="475" t="s">
        <v>499</v>
      </c>
      <c r="H455" s="474">
        <f>'4-Отчет за собствения капитал'!M30</f>
        <v>-2378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39">
        <f t="shared" si="32"/>
        <v>44469</v>
      </c>
      <c r="D456" s="99" t="s">
        <v>502</v>
      </c>
      <c r="E456" s="99">
        <v>11</v>
      </c>
      <c r="F456" s="475" t="s">
        <v>501</v>
      </c>
      <c r="H456" s="474">
        <f>'4-Отчет за собствения капитал'!M31</f>
        <v>13901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39">
        <f t="shared" si="32"/>
        <v>44469</v>
      </c>
      <c r="D457" s="99" t="s">
        <v>504</v>
      </c>
      <c r="E457" s="99">
        <v>11</v>
      </c>
      <c r="F457" s="475" t="s">
        <v>503</v>
      </c>
      <c r="H457" s="474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39">
        <f t="shared" si="32"/>
        <v>44469</v>
      </c>
      <c r="D458" s="99" t="s">
        <v>506</v>
      </c>
      <c r="E458" s="99">
        <v>11</v>
      </c>
      <c r="F458" s="475" t="s">
        <v>505</v>
      </c>
      <c r="H458" s="474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39">
        <f t="shared" si="32"/>
        <v>44469</v>
      </c>
      <c r="D459" s="99" t="s">
        <v>508</v>
      </c>
      <c r="E459" s="99">
        <v>11</v>
      </c>
      <c r="F459" s="475" t="s">
        <v>507</v>
      </c>
      <c r="H459" s="474">
        <f>'4-Отчет за собствения капитал'!M34</f>
        <v>13901</v>
      </c>
    </row>
    <row r="460" spans="1:8" s="473" customFormat="1">
      <c r="C460" s="538"/>
      <c r="F460" s="477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39">
        <f t="shared" ref="C461:C524" si="35">endDate</f>
        <v>44469</v>
      </c>
      <c r="D461" s="99" t="s">
        <v>523</v>
      </c>
      <c r="E461" s="472">
        <v>1</v>
      </c>
      <c r="F461" s="99" t="s">
        <v>522</v>
      </c>
      <c r="H461" s="99">
        <f>'Справка 6'!D11</f>
        <v>60104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39">
        <f t="shared" si="35"/>
        <v>44469</v>
      </c>
      <c r="D462" s="99" t="s">
        <v>526</v>
      </c>
      <c r="E462" s="472">
        <v>1</v>
      </c>
      <c r="F462" s="99" t="s">
        <v>525</v>
      </c>
      <c r="H462" s="99">
        <f>'Справка 6'!D12</f>
        <v>274568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39">
        <f t="shared" si="35"/>
        <v>44469</v>
      </c>
      <c r="D463" s="99" t="s">
        <v>529</v>
      </c>
      <c r="E463" s="472">
        <v>1</v>
      </c>
      <c r="F463" s="99" t="s">
        <v>528</v>
      </c>
      <c r="H463" s="99">
        <f>'Справка 6'!D13</f>
        <v>243090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39">
        <f t="shared" si="35"/>
        <v>44469</v>
      </c>
      <c r="D464" s="99" t="s">
        <v>532</v>
      </c>
      <c r="E464" s="472">
        <v>1</v>
      </c>
      <c r="F464" s="99" t="s">
        <v>531</v>
      </c>
      <c r="H464" s="99">
        <f>'Справка 6'!D14</f>
        <v>22792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39">
        <f t="shared" si="35"/>
        <v>44469</v>
      </c>
      <c r="D465" s="99" t="s">
        <v>535</v>
      </c>
      <c r="E465" s="472">
        <v>1</v>
      </c>
      <c r="F465" s="99" t="s">
        <v>534</v>
      </c>
      <c r="H465" s="99">
        <f>'Справка 6'!D15</f>
        <v>26280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39">
        <f t="shared" si="35"/>
        <v>44469</v>
      </c>
      <c r="D466" s="99" t="s">
        <v>537</v>
      </c>
      <c r="E466" s="472">
        <v>1</v>
      </c>
      <c r="F466" s="99" t="s">
        <v>536</v>
      </c>
      <c r="H466" s="99">
        <f>'Справка 6'!D16</f>
        <v>27472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39">
        <f t="shared" si="35"/>
        <v>44469</v>
      </c>
      <c r="D467" s="99" t="s">
        <v>540</v>
      </c>
      <c r="E467" s="472">
        <v>1</v>
      </c>
      <c r="F467" s="99" t="s">
        <v>539</v>
      </c>
      <c r="H467" s="99">
        <f>'Справка 6'!D17</f>
        <v>10209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39">
        <f t="shared" si="35"/>
        <v>44469</v>
      </c>
      <c r="D468" s="99" t="s">
        <v>543</v>
      </c>
      <c r="E468" s="472">
        <v>1</v>
      </c>
      <c r="F468" s="99" t="s">
        <v>542</v>
      </c>
      <c r="H468" s="99">
        <f>'Справка 6'!D18</f>
        <v>445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39">
        <f t="shared" si="35"/>
        <v>44469</v>
      </c>
      <c r="D469" s="99" t="s">
        <v>545</v>
      </c>
      <c r="E469" s="472">
        <v>1</v>
      </c>
      <c r="F469" s="99" t="s">
        <v>804</v>
      </c>
      <c r="H469" s="99">
        <f>'Справка 6'!D19</f>
        <v>664960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39">
        <f t="shared" si="35"/>
        <v>44469</v>
      </c>
      <c r="D470" s="99" t="s">
        <v>547</v>
      </c>
      <c r="E470" s="472">
        <v>1</v>
      </c>
      <c r="F470" s="99" t="s">
        <v>546</v>
      </c>
      <c r="H470" s="99">
        <f>'Справка 6'!D20</f>
        <v>11691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39">
        <f t="shared" si="35"/>
        <v>44469</v>
      </c>
      <c r="D471" s="99" t="s">
        <v>549</v>
      </c>
      <c r="E471" s="472">
        <v>1</v>
      </c>
      <c r="F471" s="99" t="s">
        <v>548</v>
      </c>
      <c r="H471" s="99">
        <f>'Справка 6'!D21</f>
        <v>344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39">
        <f t="shared" si="35"/>
        <v>44469</v>
      </c>
      <c r="D472" s="99" t="s">
        <v>553</v>
      </c>
      <c r="E472" s="472">
        <v>1</v>
      </c>
      <c r="F472" s="99" t="s">
        <v>552</v>
      </c>
      <c r="H472" s="99">
        <f>'Справка 6'!D23</f>
        <v>83084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39">
        <f t="shared" si="35"/>
        <v>44469</v>
      </c>
      <c r="D473" s="99" t="s">
        <v>555</v>
      </c>
      <c r="E473" s="472">
        <v>1</v>
      </c>
      <c r="F473" s="99" t="s">
        <v>554</v>
      </c>
      <c r="H473" s="99">
        <f>'Справка 6'!D24</f>
        <v>27696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39">
        <f t="shared" si="35"/>
        <v>44469</v>
      </c>
      <c r="D474" s="99" t="s">
        <v>557</v>
      </c>
      <c r="E474" s="47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39">
        <f t="shared" si="35"/>
        <v>44469</v>
      </c>
      <c r="D475" s="99" t="s">
        <v>558</v>
      </c>
      <c r="E475" s="472">
        <v>1</v>
      </c>
      <c r="F475" s="99" t="s">
        <v>542</v>
      </c>
      <c r="H475" s="99">
        <f>'Справка 6'!D26</f>
        <v>7557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39">
        <f t="shared" si="35"/>
        <v>44469</v>
      </c>
      <c r="D476" s="99" t="s">
        <v>560</v>
      </c>
      <c r="E476" s="472">
        <v>1</v>
      </c>
      <c r="F476" s="99" t="s">
        <v>838</v>
      </c>
      <c r="H476" s="99">
        <f>'Справка 6'!D27</f>
        <v>118337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39">
        <f t="shared" si="35"/>
        <v>44469</v>
      </c>
      <c r="D477" s="99" t="s">
        <v>562</v>
      </c>
      <c r="E477" s="472">
        <v>1</v>
      </c>
      <c r="F477" s="99" t="s">
        <v>561</v>
      </c>
      <c r="H477" s="99">
        <f>'Справка 6'!D29</f>
        <v>77105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39">
        <f t="shared" si="35"/>
        <v>44469</v>
      </c>
      <c r="D478" s="99" t="s">
        <v>563</v>
      </c>
      <c r="E478" s="47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39">
        <f t="shared" si="35"/>
        <v>44469</v>
      </c>
      <c r="D479" s="99" t="s">
        <v>564</v>
      </c>
      <c r="E479" s="472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39">
        <f t="shared" si="35"/>
        <v>44469</v>
      </c>
      <c r="D480" s="99" t="s">
        <v>565</v>
      </c>
      <c r="E480" s="472">
        <v>1</v>
      </c>
      <c r="F480" s="99" t="s">
        <v>113</v>
      </c>
      <c r="H480" s="99">
        <f>'Справка 6'!D32</f>
        <v>62811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39">
        <f t="shared" si="35"/>
        <v>44469</v>
      </c>
      <c r="D481" s="99" t="s">
        <v>566</v>
      </c>
      <c r="E481" s="472">
        <v>1</v>
      </c>
      <c r="F481" s="99" t="s">
        <v>115</v>
      </c>
      <c r="H481" s="99">
        <f>'Справка 6'!D33</f>
        <v>14294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39">
        <f t="shared" si="35"/>
        <v>44469</v>
      </c>
      <c r="D482" s="99" t="s">
        <v>568</v>
      </c>
      <c r="E482" s="47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39">
        <f t="shared" si="35"/>
        <v>44469</v>
      </c>
      <c r="D483" s="99" t="s">
        <v>569</v>
      </c>
      <c r="E483" s="47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39">
        <f t="shared" si="35"/>
        <v>44469</v>
      </c>
      <c r="D484" s="99" t="s">
        <v>571</v>
      </c>
      <c r="E484" s="47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39">
        <f t="shared" si="35"/>
        <v>44469</v>
      </c>
      <c r="D485" s="99" t="s">
        <v>573</v>
      </c>
      <c r="E485" s="47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39">
        <f t="shared" si="35"/>
        <v>44469</v>
      </c>
      <c r="D486" s="99" t="s">
        <v>575</v>
      </c>
      <c r="E486" s="47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39">
        <f t="shared" si="35"/>
        <v>44469</v>
      </c>
      <c r="D487" s="99" t="s">
        <v>576</v>
      </c>
      <c r="E487" s="47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39">
        <f t="shared" si="35"/>
        <v>44469</v>
      </c>
      <c r="D488" s="99" t="s">
        <v>578</v>
      </c>
      <c r="E488" s="472">
        <v>1</v>
      </c>
      <c r="F488" s="99" t="s">
        <v>803</v>
      </c>
      <c r="H488" s="99">
        <f>'Справка 6'!D40</f>
        <v>77105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39">
        <f t="shared" si="35"/>
        <v>44469</v>
      </c>
      <c r="D489" s="99" t="s">
        <v>581</v>
      </c>
      <c r="E489" s="472">
        <v>1</v>
      </c>
      <c r="F489" s="99" t="s">
        <v>580</v>
      </c>
      <c r="H489" s="99">
        <f>'Справка 6'!D41</f>
        <v>31157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39">
        <f t="shared" si="35"/>
        <v>44469</v>
      </c>
      <c r="D490" s="99" t="s">
        <v>583</v>
      </c>
      <c r="E490" s="472">
        <v>1</v>
      </c>
      <c r="F490" s="99" t="s">
        <v>582</v>
      </c>
      <c r="H490" s="99">
        <f>'Справка 6'!D42</f>
        <v>903594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39">
        <f t="shared" si="35"/>
        <v>44469</v>
      </c>
      <c r="D491" s="99" t="s">
        <v>523</v>
      </c>
      <c r="E491" s="472">
        <v>2</v>
      </c>
      <c r="F491" s="99" t="s">
        <v>522</v>
      </c>
      <c r="H491" s="99">
        <f>'Справка 6'!E11</f>
        <v>1322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39">
        <f t="shared" si="35"/>
        <v>44469</v>
      </c>
      <c r="D492" s="99" t="s">
        <v>526</v>
      </c>
      <c r="E492" s="472">
        <v>2</v>
      </c>
      <c r="F492" s="99" t="s">
        <v>525</v>
      </c>
      <c r="H492" s="99">
        <f>'Справка 6'!E12</f>
        <v>11129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39">
        <f t="shared" si="35"/>
        <v>44469</v>
      </c>
      <c r="D493" s="99" t="s">
        <v>529</v>
      </c>
      <c r="E493" s="472">
        <v>2</v>
      </c>
      <c r="F493" s="99" t="s">
        <v>528</v>
      </c>
      <c r="H493" s="99">
        <f>'Справка 6'!E13</f>
        <v>14450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39">
        <f t="shared" si="35"/>
        <v>44469</v>
      </c>
      <c r="D494" s="99" t="s">
        <v>532</v>
      </c>
      <c r="E494" s="472">
        <v>2</v>
      </c>
      <c r="F494" s="99" t="s">
        <v>531</v>
      </c>
      <c r="H494" s="99">
        <f>'Справка 6'!E14</f>
        <v>419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39">
        <f t="shared" si="35"/>
        <v>44469</v>
      </c>
      <c r="D495" s="99" t="s">
        <v>535</v>
      </c>
      <c r="E495" s="472">
        <v>2</v>
      </c>
      <c r="F495" s="99" t="s">
        <v>534</v>
      </c>
      <c r="H495" s="99">
        <f>'Справка 6'!E15</f>
        <v>3067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39">
        <f t="shared" si="35"/>
        <v>44469</v>
      </c>
      <c r="D496" s="99" t="s">
        <v>537</v>
      </c>
      <c r="E496" s="472">
        <v>2</v>
      </c>
      <c r="F496" s="99" t="s">
        <v>536</v>
      </c>
      <c r="H496" s="99">
        <f>'Справка 6'!E16</f>
        <v>2951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39">
        <f t="shared" si="35"/>
        <v>44469</v>
      </c>
      <c r="D497" s="99" t="s">
        <v>540</v>
      </c>
      <c r="E497" s="472">
        <v>2</v>
      </c>
      <c r="F497" s="99" t="s">
        <v>539</v>
      </c>
      <c r="H497" s="99">
        <f>'Справка 6'!E17</f>
        <v>13322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39">
        <f t="shared" si="35"/>
        <v>44469</v>
      </c>
      <c r="D498" s="99" t="s">
        <v>543</v>
      </c>
      <c r="E498" s="472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39">
        <f t="shared" si="35"/>
        <v>44469</v>
      </c>
      <c r="D499" s="99" t="s">
        <v>545</v>
      </c>
      <c r="E499" s="472">
        <v>2</v>
      </c>
      <c r="F499" s="99" t="s">
        <v>804</v>
      </c>
      <c r="H499" s="99">
        <f>'Справка 6'!E19</f>
        <v>46660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39">
        <f t="shared" si="35"/>
        <v>44469</v>
      </c>
      <c r="D500" s="99" t="s">
        <v>547</v>
      </c>
      <c r="E500" s="472">
        <v>2</v>
      </c>
      <c r="F500" s="99" t="s">
        <v>546</v>
      </c>
      <c r="H500" s="99">
        <f>'Справка 6'!E20</f>
        <v>0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39">
        <f t="shared" si="35"/>
        <v>44469</v>
      </c>
      <c r="D501" s="99" t="s">
        <v>549</v>
      </c>
      <c r="E501" s="47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39">
        <f t="shared" si="35"/>
        <v>44469</v>
      </c>
      <c r="D502" s="99" t="s">
        <v>553</v>
      </c>
      <c r="E502" s="472">
        <v>2</v>
      </c>
      <c r="F502" s="99" t="s">
        <v>552</v>
      </c>
      <c r="H502" s="99">
        <f>'Справка 6'!E23</f>
        <v>487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39">
        <f t="shared" si="35"/>
        <v>44469</v>
      </c>
      <c r="D503" s="99" t="s">
        <v>555</v>
      </c>
      <c r="E503" s="472">
        <v>2</v>
      </c>
      <c r="F503" s="99" t="s">
        <v>554</v>
      </c>
      <c r="H503" s="99">
        <f>'Справка 6'!E24</f>
        <v>854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39">
        <f t="shared" si="35"/>
        <v>44469</v>
      </c>
      <c r="D504" s="99" t="s">
        <v>557</v>
      </c>
      <c r="E504" s="47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39">
        <f t="shared" si="35"/>
        <v>44469</v>
      </c>
      <c r="D505" s="99" t="s">
        <v>558</v>
      </c>
      <c r="E505" s="472">
        <v>2</v>
      </c>
      <c r="F505" s="99" t="s">
        <v>542</v>
      </c>
      <c r="H505" s="99">
        <f>'Справка 6'!E26</f>
        <v>4008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39">
        <f t="shared" si="35"/>
        <v>44469</v>
      </c>
      <c r="D506" s="99" t="s">
        <v>560</v>
      </c>
      <c r="E506" s="472">
        <v>2</v>
      </c>
      <c r="F506" s="99" t="s">
        <v>838</v>
      </c>
      <c r="H506" s="99">
        <f>'Справка 6'!E27</f>
        <v>5349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39">
        <f t="shared" si="35"/>
        <v>44469</v>
      </c>
      <c r="D507" s="99" t="s">
        <v>562</v>
      </c>
      <c r="E507" s="472">
        <v>2</v>
      </c>
      <c r="F507" s="99" t="s">
        <v>561</v>
      </c>
      <c r="H507" s="99">
        <f>'Справка 6'!E29</f>
        <v>17190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39">
        <f t="shared" si="35"/>
        <v>44469</v>
      </c>
      <c r="D508" s="99" t="s">
        <v>563</v>
      </c>
      <c r="E508" s="47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39">
        <f t="shared" si="35"/>
        <v>44469</v>
      </c>
      <c r="D509" s="99" t="s">
        <v>564</v>
      </c>
      <c r="E509" s="472">
        <v>2</v>
      </c>
      <c r="F509" s="99" t="s">
        <v>110</v>
      </c>
      <c r="H509" s="99">
        <f>'Справка 6'!E31</f>
        <v>2074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39">
        <f t="shared" si="35"/>
        <v>44469</v>
      </c>
      <c r="D510" s="99" t="s">
        <v>565</v>
      </c>
      <c r="E510" s="472">
        <v>2</v>
      </c>
      <c r="F510" s="99" t="s">
        <v>113</v>
      </c>
      <c r="H510" s="99">
        <f>'Справка 6'!E32</f>
        <v>12560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39">
        <f t="shared" si="35"/>
        <v>44469</v>
      </c>
      <c r="D511" s="99" t="s">
        <v>566</v>
      </c>
      <c r="E511" s="472">
        <v>2</v>
      </c>
      <c r="F511" s="99" t="s">
        <v>115</v>
      </c>
      <c r="H511" s="99">
        <f>'Справка 6'!E33</f>
        <v>2556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39">
        <f t="shared" si="35"/>
        <v>44469</v>
      </c>
      <c r="D512" s="99" t="s">
        <v>568</v>
      </c>
      <c r="E512" s="47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39">
        <f t="shared" si="35"/>
        <v>44469</v>
      </c>
      <c r="D513" s="99" t="s">
        <v>569</v>
      </c>
      <c r="E513" s="47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39">
        <f t="shared" si="35"/>
        <v>44469</v>
      </c>
      <c r="D514" s="99" t="s">
        <v>571</v>
      </c>
      <c r="E514" s="47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39">
        <f t="shared" si="35"/>
        <v>44469</v>
      </c>
      <c r="D515" s="99" t="s">
        <v>573</v>
      </c>
      <c r="E515" s="47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39">
        <f t="shared" si="35"/>
        <v>44469</v>
      </c>
      <c r="D516" s="99" t="s">
        <v>575</v>
      </c>
      <c r="E516" s="47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39">
        <f t="shared" si="35"/>
        <v>44469</v>
      </c>
      <c r="D517" s="99" t="s">
        <v>576</v>
      </c>
      <c r="E517" s="47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39">
        <f t="shared" si="35"/>
        <v>44469</v>
      </c>
      <c r="D518" s="99" t="s">
        <v>578</v>
      </c>
      <c r="E518" s="472">
        <v>2</v>
      </c>
      <c r="F518" s="99" t="s">
        <v>803</v>
      </c>
      <c r="H518" s="99">
        <f>'Справка 6'!E40</f>
        <v>17190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39">
        <f t="shared" si="35"/>
        <v>44469</v>
      </c>
      <c r="D519" s="99" t="s">
        <v>581</v>
      </c>
      <c r="E519" s="472">
        <v>2</v>
      </c>
      <c r="F519" s="99" t="s">
        <v>580</v>
      </c>
      <c r="H519" s="99">
        <f>'Справка 6'!E41</f>
        <v>148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39">
        <f t="shared" si="35"/>
        <v>44469</v>
      </c>
      <c r="D520" s="99" t="s">
        <v>583</v>
      </c>
      <c r="E520" s="472">
        <v>2</v>
      </c>
      <c r="F520" s="99" t="s">
        <v>582</v>
      </c>
      <c r="H520" s="99">
        <f>'Справка 6'!E42</f>
        <v>69347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39">
        <f t="shared" si="35"/>
        <v>44469</v>
      </c>
      <c r="D521" s="99" t="s">
        <v>523</v>
      </c>
      <c r="E521" s="472">
        <v>3</v>
      </c>
      <c r="F521" s="99" t="s">
        <v>522</v>
      </c>
      <c r="H521" s="99">
        <f>'Справка 6'!F11</f>
        <v>2357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39">
        <f t="shared" si="35"/>
        <v>44469</v>
      </c>
      <c r="D522" s="99" t="s">
        <v>526</v>
      </c>
      <c r="E522" s="472">
        <v>3</v>
      </c>
      <c r="F522" s="99" t="s">
        <v>525</v>
      </c>
      <c r="H522" s="99">
        <f>'Справка 6'!F12</f>
        <v>9243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39">
        <f t="shared" si="35"/>
        <v>44469</v>
      </c>
      <c r="D523" s="99" t="s">
        <v>529</v>
      </c>
      <c r="E523" s="472">
        <v>3</v>
      </c>
      <c r="F523" s="99" t="s">
        <v>528</v>
      </c>
      <c r="H523" s="99">
        <f>'Справка 6'!F13</f>
        <v>14186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39">
        <f t="shared" si="35"/>
        <v>44469</v>
      </c>
      <c r="D524" s="99" t="s">
        <v>532</v>
      </c>
      <c r="E524" s="472">
        <v>3</v>
      </c>
      <c r="F524" s="99" t="s">
        <v>531</v>
      </c>
      <c r="H524" s="99">
        <f>'Справка 6'!F14</f>
        <v>20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39">
        <f t="shared" ref="C525:C588" si="38">endDate</f>
        <v>44469</v>
      </c>
      <c r="D525" s="99" t="s">
        <v>535</v>
      </c>
      <c r="E525" s="472">
        <v>3</v>
      </c>
      <c r="F525" s="99" t="s">
        <v>534</v>
      </c>
      <c r="H525" s="99">
        <f>'Справка 6'!F15</f>
        <v>5255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39">
        <f t="shared" si="38"/>
        <v>44469</v>
      </c>
      <c r="D526" s="99" t="s">
        <v>537</v>
      </c>
      <c r="E526" s="472">
        <v>3</v>
      </c>
      <c r="F526" s="99" t="s">
        <v>536</v>
      </c>
      <c r="H526" s="99">
        <f>'Справка 6'!F16</f>
        <v>1138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39">
        <f t="shared" si="38"/>
        <v>44469</v>
      </c>
      <c r="D527" s="99" t="s">
        <v>540</v>
      </c>
      <c r="E527" s="472">
        <v>3</v>
      </c>
      <c r="F527" s="99" t="s">
        <v>539</v>
      </c>
      <c r="H527" s="99">
        <f>'Справка 6'!F17</f>
        <v>16470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39">
        <f t="shared" si="38"/>
        <v>44469</v>
      </c>
      <c r="D528" s="99" t="s">
        <v>543</v>
      </c>
      <c r="E528" s="472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39">
        <f t="shared" si="38"/>
        <v>44469</v>
      </c>
      <c r="D529" s="99" t="s">
        <v>545</v>
      </c>
      <c r="E529" s="472">
        <v>3</v>
      </c>
      <c r="F529" s="99" t="s">
        <v>804</v>
      </c>
      <c r="H529" s="99">
        <f>'Справка 6'!F19</f>
        <v>48669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39">
        <f t="shared" si="38"/>
        <v>44469</v>
      </c>
      <c r="D530" s="99" t="s">
        <v>547</v>
      </c>
      <c r="E530" s="472">
        <v>3</v>
      </c>
      <c r="F530" s="99" t="s">
        <v>546</v>
      </c>
      <c r="H530" s="99">
        <f>'Справка 6'!F20</f>
        <v>1559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39">
        <f t="shared" si="38"/>
        <v>44469</v>
      </c>
      <c r="D531" s="99" t="s">
        <v>549</v>
      </c>
      <c r="E531" s="47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39">
        <f t="shared" si="38"/>
        <v>44469</v>
      </c>
      <c r="D532" s="99" t="s">
        <v>553</v>
      </c>
      <c r="E532" s="472">
        <v>3</v>
      </c>
      <c r="F532" s="99" t="s">
        <v>552</v>
      </c>
      <c r="H532" s="99">
        <f>'Справка 6'!F23</f>
        <v>3820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39">
        <f t="shared" si="38"/>
        <v>44469</v>
      </c>
      <c r="D533" s="99" t="s">
        <v>555</v>
      </c>
      <c r="E533" s="472">
        <v>3</v>
      </c>
      <c r="F533" s="99" t="s">
        <v>554</v>
      </c>
      <c r="H533" s="99">
        <f>'Справка 6'!F24</f>
        <v>95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39">
        <f t="shared" si="38"/>
        <v>44469</v>
      </c>
      <c r="D534" s="99" t="s">
        <v>557</v>
      </c>
      <c r="E534" s="47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39">
        <f t="shared" si="38"/>
        <v>44469</v>
      </c>
      <c r="D535" s="99" t="s">
        <v>558</v>
      </c>
      <c r="E535" s="472">
        <v>3</v>
      </c>
      <c r="F535" s="99" t="s">
        <v>542</v>
      </c>
      <c r="H535" s="99">
        <f>'Справка 6'!F26</f>
        <v>698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39">
        <f t="shared" si="38"/>
        <v>44469</v>
      </c>
      <c r="D536" s="99" t="s">
        <v>560</v>
      </c>
      <c r="E536" s="472">
        <v>3</v>
      </c>
      <c r="F536" s="99" t="s">
        <v>838</v>
      </c>
      <c r="H536" s="99">
        <f>'Справка 6'!F27</f>
        <v>4613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39">
        <f t="shared" si="38"/>
        <v>44469</v>
      </c>
      <c r="D537" s="99" t="s">
        <v>562</v>
      </c>
      <c r="E537" s="472">
        <v>3</v>
      </c>
      <c r="F537" s="99" t="s">
        <v>561</v>
      </c>
      <c r="H537" s="99">
        <f>'Справка 6'!F29</f>
        <v>2066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39">
        <f t="shared" si="38"/>
        <v>44469</v>
      </c>
      <c r="D538" s="99" t="s">
        <v>563</v>
      </c>
      <c r="E538" s="47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39">
        <f t="shared" si="38"/>
        <v>44469</v>
      </c>
      <c r="D539" s="99" t="s">
        <v>564</v>
      </c>
      <c r="E539" s="472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39">
        <f t="shared" si="38"/>
        <v>44469</v>
      </c>
      <c r="D540" s="99" t="s">
        <v>565</v>
      </c>
      <c r="E540" s="472">
        <v>3</v>
      </c>
      <c r="F540" s="99" t="s">
        <v>113</v>
      </c>
      <c r="H540" s="99">
        <f>'Справка 6'!F32</f>
        <v>60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39">
        <f t="shared" si="38"/>
        <v>44469</v>
      </c>
      <c r="D541" s="99" t="s">
        <v>566</v>
      </c>
      <c r="E541" s="472">
        <v>3</v>
      </c>
      <c r="F541" s="99" t="s">
        <v>115</v>
      </c>
      <c r="H541" s="99">
        <f>'Справка 6'!F33</f>
        <v>2006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39">
        <f t="shared" si="38"/>
        <v>44469</v>
      </c>
      <c r="D542" s="99" t="s">
        <v>568</v>
      </c>
      <c r="E542" s="47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39">
        <f t="shared" si="38"/>
        <v>44469</v>
      </c>
      <c r="D543" s="99" t="s">
        <v>569</v>
      </c>
      <c r="E543" s="47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39">
        <f t="shared" si="38"/>
        <v>44469</v>
      </c>
      <c r="D544" s="99" t="s">
        <v>571</v>
      </c>
      <c r="E544" s="47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39">
        <f t="shared" si="38"/>
        <v>44469</v>
      </c>
      <c r="D545" s="99" t="s">
        <v>573</v>
      </c>
      <c r="E545" s="47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39">
        <f t="shared" si="38"/>
        <v>44469</v>
      </c>
      <c r="D546" s="99" t="s">
        <v>575</v>
      </c>
      <c r="E546" s="47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39">
        <f t="shared" si="38"/>
        <v>44469</v>
      </c>
      <c r="D547" s="99" t="s">
        <v>576</v>
      </c>
      <c r="E547" s="47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39">
        <f t="shared" si="38"/>
        <v>44469</v>
      </c>
      <c r="D548" s="99" t="s">
        <v>578</v>
      </c>
      <c r="E548" s="472">
        <v>3</v>
      </c>
      <c r="F548" s="99" t="s">
        <v>803</v>
      </c>
      <c r="H548" s="99">
        <f>'Справка 6'!F40</f>
        <v>2066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39">
        <f t="shared" si="38"/>
        <v>44469</v>
      </c>
      <c r="D549" s="99" t="s">
        <v>581</v>
      </c>
      <c r="E549" s="472">
        <v>3</v>
      </c>
      <c r="F549" s="99" t="s">
        <v>580</v>
      </c>
      <c r="H549" s="99">
        <f>'Справка 6'!F41</f>
        <v>0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39">
        <f t="shared" si="38"/>
        <v>44469</v>
      </c>
      <c r="D550" s="99" t="s">
        <v>583</v>
      </c>
      <c r="E550" s="472">
        <v>3</v>
      </c>
      <c r="F550" s="99" t="s">
        <v>582</v>
      </c>
      <c r="H550" s="99">
        <f>'Справка 6'!F42</f>
        <v>56907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39">
        <f t="shared" si="38"/>
        <v>44469</v>
      </c>
      <c r="D551" s="99" t="s">
        <v>523</v>
      </c>
      <c r="E551" s="472">
        <v>4</v>
      </c>
      <c r="F551" s="99" t="s">
        <v>522</v>
      </c>
      <c r="H551" s="99">
        <f>'Справка 6'!G11</f>
        <v>59069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39">
        <f t="shared" si="38"/>
        <v>44469</v>
      </c>
      <c r="D552" s="99" t="s">
        <v>526</v>
      </c>
      <c r="E552" s="472">
        <v>4</v>
      </c>
      <c r="F552" s="99" t="s">
        <v>525</v>
      </c>
      <c r="H552" s="99">
        <f>'Справка 6'!G12</f>
        <v>276454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39">
        <f t="shared" si="38"/>
        <v>44469</v>
      </c>
      <c r="D553" s="99" t="s">
        <v>529</v>
      </c>
      <c r="E553" s="472">
        <v>4</v>
      </c>
      <c r="F553" s="99" t="s">
        <v>528</v>
      </c>
      <c r="H553" s="99">
        <f>'Справка 6'!G13</f>
        <v>243354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39">
        <f t="shared" si="38"/>
        <v>44469</v>
      </c>
      <c r="D554" s="99" t="s">
        <v>532</v>
      </c>
      <c r="E554" s="472">
        <v>4</v>
      </c>
      <c r="F554" s="99" t="s">
        <v>531</v>
      </c>
      <c r="H554" s="99">
        <f>'Справка 6'!G14</f>
        <v>23191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39">
        <f t="shared" si="38"/>
        <v>44469</v>
      </c>
      <c r="D555" s="99" t="s">
        <v>535</v>
      </c>
      <c r="E555" s="472">
        <v>4</v>
      </c>
      <c r="F555" s="99" t="s">
        <v>534</v>
      </c>
      <c r="H555" s="99">
        <f>'Справка 6'!G15</f>
        <v>24092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39">
        <f t="shared" si="38"/>
        <v>44469</v>
      </c>
      <c r="D556" s="99" t="s">
        <v>537</v>
      </c>
      <c r="E556" s="472">
        <v>4</v>
      </c>
      <c r="F556" s="99" t="s">
        <v>536</v>
      </c>
      <c r="H556" s="99">
        <f>'Справка 6'!G16</f>
        <v>29285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39">
        <f t="shared" si="38"/>
        <v>44469</v>
      </c>
      <c r="D557" s="99" t="s">
        <v>540</v>
      </c>
      <c r="E557" s="472">
        <v>4</v>
      </c>
      <c r="F557" s="99" t="s">
        <v>539</v>
      </c>
      <c r="H557" s="99">
        <f>'Справка 6'!G17</f>
        <v>7061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39">
        <f t="shared" si="38"/>
        <v>44469</v>
      </c>
      <c r="D558" s="99" t="s">
        <v>543</v>
      </c>
      <c r="E558" s="472">
        <v>4</v>
      </c>
      <c r="F558" s="99" t="s">
        <v>542</v>
      </c>
      <c r="H558" s="99">
        <f>'Справка 6'!G18</f>
        <v>445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39">
        <f t="shared" si="38"/>
        <v>44469</v>
      </c>
      <c r="D559" s="99" t="s">
        <v>545</v>
      </c>
      <c r="E559" s="472">
        <v>4</v>
      </c>
      <c r="F559" s="99" t="s">
        <v>804</v>
      </c>
      <c r="H559" s="99">
        <f>'Справка 6'!G19</f>
        <v>662951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39">
        <f t="shared" si="38"/>
        <v>44469</v>
      </c>
      <c r="D560" s="99" t="s">
        <v>547</v>
      </c>
      <c r="E560" s="472">
        <v>4</v>
      </c>
      <c r="F560" s="99" t="s">
        <v>546</v>
      </c>
      <c r="H560" s="99">
        <f>'Справка 6'!G20</f>
        <v>10132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39">
        <f t="shared" si="38"/>
        <v>44469</v>
      </c>
      <c r="D561" s="99" t="s">
        <v>549</v>
      </c>
      <c r="E561" s="472">
        <v>4</v>
      </c>
      <c r="F561" s="99" t="s">
        <v>548</v>
      </c>
      <c r="H561" s="99">
        <f>'Справка 6'!G21</f>
        <v>344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39">
        <f t="shared" si="38"/>
        <v>44469</v>
      </c>
      <c r="D562" s="99" t="s">
        <v>553</v>
      </c>
      <c r="E562" s="472">
        <v>4</v>
      </c>
      <c r="F562" s="99" t="s">
        <v>552</v>
      </c>
      <c r="H562" s="99">
        <f>'Справка 6'!G23</f>
        <v>79751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39">
        <f t="shared" si="38"/>
        <v>44469</v>
      </c>
      <c r="D563" s="99" t="s">
        <v>555</v>
      </c>
      <c r="E563" s="472">
        <v>4</v>
      </c>
      <c r="F563" s="99" t="s">
        <v>554</v>
      </c>
      <c r="H563" s="99">
        <f>'Справка 6'!G24</f>
        <v>28455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39">
        <f t="shared" si="38"/>
        <v>44469</v>
      </c>
      <c r="D564" s="99" t="s">
        <v>557</v>
      </c>
      <c r="E564" s="47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39">
        <f t="shared" si="38"/>
        <v>44469</v>
      </c>
      <c r="D565" s="99" t="s">
        <v>558</v>
      </c>
      <c r="E565" s="472">
        <v>4</v>
      </c>
      <c r="F565" s="99" t="s">
        <v>542</v>
      </c>
      <c r="H565" s="99">
        <f>'Справка 6'!G26</f>
        <v>10867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39">
        <f t="shared" si="38"/>
        <v>44469</v>
      </c>
      <c r="D566" s="99" t="s">
        <v>560</v>
      </c>
      <c r="E566" s="472">
        <v>4</v>
      </c>
      <c r="F566" s="99" t="s">
        <v>838</v>
      </c>
      <c r="H566" s="99">
        <f>'Справка 6'!G27</f>
        <v>119073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39">
        <f t="shared" si="38"/>
        <v>44469</v>
      </c>
      <c r="D567" s="99" t="s">
        <v>562</v>
      </c>
      <c r="E567" s="472">
        <v>4</v>
      </c>
      <c r="F567" s="99" t="s">
        <v>561</v>
      </c>
      <c r="H567" s="99">
        <f>'Справка 6'!G29</f>
        <v>92229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39">
        <f t="shared" si="38"/>
        <v>44469</v>
      </c>
      <c r="D568" s="99" t="s">
        <v>563</v>
      </c>
      <c r="E568" s="47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39">
        <f t="shared" si="38"/>
        <v>44469</v>
      </c>
      <c r="D569" s="99" t="s">
        <v>564</v>
      </c>
      <c r="E569" s="472">
        <v>4</v>
      </c>
      <c r="F569" s="99" t="s">
        <v>110</v>
      </c>
      <c r="H569" s="99">
        <f>'Справка 6'!G31</f>
        <v>2074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39">
        <f t="shared" si="38"/>
        <v>44469</v>
      </c>
      <c r="D570" s="99" t="s">
        <v>565</v>
      </c>
      <c r="E570" s="472">
        <v>4</v>
      </c>
      <c r="F570" s="99" t="s">
        <v>113</v>
      </c>
      <c r="H570" s="99">
        <f>'Справка 6'!G32</f>
        <v>75311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39">
        <f t="shared" si="38"/>
        <v>44469</v>
      </c>
      <c r="D571" s="99" t="s">
        <v>566</v>
      </c>
      <c r="E571" s="472">
        <v>4</v>
      </c>
      <c r="F571" s="99" t="s">
        <v>115</v>
      </c>
      <c r="H571" s="99">
        <f>'Справка 6'!G33</f>
        <v>14844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39">
        <f t="shared" si="38"/>
        <v>44469</v>
      </c>
      <c r="D572" s="99" t="s">
        <v>568</v>
      </c>
      <c r="E572" s="47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39">
        <f t="shared" si="38"/>
        <v>44469</v>
      </c>
      <c r="D573" s="99" t="s">
        <v>569</v>
      </c>
      <c r="E573" s="47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39">
        <f t="shared" si="38"/>
        <v>44469</v>
      </c>
      <c r="D574" s="99" t="s">
        <v>571</v>
      </c>
      <c r="E574" s="47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39">
        <f t="shared" si="38"/>
        <v>44469</v>
      </c>
      <c r="D575" s="99" t="s">
        <v>573</v>
      </c>
      <c r="E575" s="47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39">
        <f t="shared" si="38"/>
        <v>44469</v>
      </c>
      <c r="D576" s="99" t="s">
        <v>575</v>
      </c>
      <c r="E576" s="47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39">
        <f t="shared" si="38"/>
        <v>44469</v>
      </c>
      <c r="D577" s="99" t="s">
        <v>576</v>
      </c>
      <c r="E577" s="47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39">
        <f t="shared" si="38"/>
        <v>44469</v>
      </c>
      <c r="D578" s="99" t="s">
        <v>578</v>
      </c>
      <c r="E578" s="472">
        <v>4</v>
      </c>
      <c r="F578" s="99" t="s">
        <v>803</v>
      </c>
      <c r="H578" s="99">
        <f>'Справка 6'!G40</f>
        <v>92229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39">
        <f t="shared" si="38"/>
        <v>44469</v>
      </c>
      <c r="D579" s="99" t="s">
        <v>581</v>
      </c>
      <c r="E579" s="472">
        <v>4</v>
      </c>
      <c r="F579" s="99" t="s">
        <v>580</v>
      </c>
      <c r="H579" s="99">
        <f>'Справка 6'!G41</f>
        <v>31305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39">
        <f t="shared" si="38"/>
        <v>44469</v>
      </c>
      <c r="D580" s="99" t="s">
        <v>583</v>
      </c>
      <c r="E580" s="472">
        <v>4</v>
      </c>
      <c r="F580" s="99" t="s">
        <v>582</v>
      </c>
      <c r="H580" s="99">
        <f>'Справка 6'!G42</f>
        <v>916034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39">
        <f t="shared" si="38"/>
        <v>44469</v>
      </c>
      <c r="D581" s="99" t="s">
        <v>523</v>
      </c>
      <c r="E581" s="47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39">
        <f t="shared" si="38"/>
        <v>44469</v>
      </c>
      <c r="D582" s="99" t="s">
        <v>526</v>
      </c>
      <c r="E582" s="47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39">
        <f t="shared" si="38"/>
        <v>44469</v>
      </c>
      <c r="D583" s="99" t="s">
        <v>529</v>
      </c>
      <c r="E583" s="47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39">
        <f t="shared" si="38"/>
        <v>44469</v>
      </c>
      <c r="D584" s="99" t="s">
        <v>532</v>
      </c>
      <c r="E584" s="47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39">
        <f t="shared" si="38"/>
        <v>44469</v>
      </c>
      <c r="D585" s="99" t="s">
        <v>535</v>
      </c>
      <c r="E585" s="47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39">
        <f t="shared" si="38"/>
        <v>44469</v>
      </c>
      <c r="D586" s="99" t="s">
        <v>537</v>
      </c>
      <c r="E586" s="472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39">
        <f t="shared" si="38"/>
        <v>44469</v>
      </c>
      <c r="D587" s="99" t="s">
        <v>540</v>
      </c>
      <c r="E587" s="47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39">
        <f t="shared" si="38"/>
        <v>44469</v>
      </c>
      <c r="D588" s="99" t="s">
        <v>543</v>
      </c>
      <c r="E588" s="47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39">
        <f t="shared" ref="C589:C652" si="41">endDate</f>
        <v>44469</v>
      </c>
      <c r="D589" s="99" t="s">
        <v>545</v>
      </c>
      <c r="E589" s="472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39">
        <f t="shared" si="41"/>
        <v>44469</v>
      </c>
      <c r="D590" s="99" t="s">
        <v>547</v>
      </c>
      <c r="E590" s="472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39">
        <f t="shared" si="41"/>
        <v>44469</v>
      </c>
      <c r="D591" s="99" t="s">
        <v>549</v>
      </c>
      <c r="E591" s="47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39">
        <f t="shared" si="41"/>
        <v>44469</v>
      </c>
      <c r="D592" s="99" t="s">
        <v>553</v>
      </c>
      <c r="E592" s="47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39">
        <f t="shared" si="41"/>
        <v>44469</v>
      </c>
      <c r="D593" s="99" t="s">
        <v>555</v>
      </c>
      <c r="E593" s="47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39">
        <f t="shared" si="41"/>
        <v>44469</v>
      </c>
      <c r="D594" s="99" t="s">
        <v>557</v>
      </c>
      <c r="E594" s="47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39">
        <f t="shared" si="41"/>
        <v>44469</v>
      </c>
      <c r="D595" s="99" t="s">
        <v>558</v>
      </c>
      <c r="E595" s="47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39">
        <f t="shared" si="41"/>
        <v>44469</v>
      </c>
      <c r="D596" s="99" t="s">
        <v>560</v>
      </c>
      <c r="E596" s="47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39">
        <f t="shared" si="41"/>
        <v>44469</v>
      </c>
      <c r="D597" s="99" t="s">
        <v>562</v>
      </c>
      <c r="E597" s="472">
        <v>5</v>
      </c>
      <c r="F597" s="99" t="s">
        <v>561</v>
      </c>
      <c r="H597" s="99">
        <f>'Справка 6'!H29</f>
        <v>742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39">
        <f t="shared" si="41"/>
        <v>44469</v>
      </c>
      <c r="D598" s="99" t="s">
        <v>563</v>
      </c>
      <c r="E598" s="47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39">
        <f t="shared" si="41"/>
        <v>44469</v>
      </c>
      <c r="D599" s="99" t="s">
        <v>564</v>
      </c>
      <c r="E599" s="47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39">
        <f t="shared" si="41"/>
        <v>44469</v>
      </c>
      <c r="D600" s="99" t="s">
        <v>565</v>
      </c>
      <c r="E600" s="47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39">
        <f t="shared" si="41"/>
        <v>44469</v>
      </c>
      <c r="D601" s="99" t="s">
        <v>566</v>
      </c>
      <c r="E601" s="472">
        <v>5</v>
      </c>
      <c r="F601" s="99" t="s">
        <v>115</v>
      </c>
      <c r="H601" s="99">
        <f>'Справка 6'!H33</f>
        <v>742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39">
        <f t="shared" si="41"/>
        <v>44469</v>
      </c>
      <c r="D602" s="99" t="s">
        <v>568</v>
      </c>
      <c r="E602" s="47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39">
        <f t="shared" si="41"/>
        <v>44469</v>
      </c>
      <c r="D603" s="99" t="s">
        <v>569</v>
      </c>
      <c r="E603" s="47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39">
        <f t="shared" si="41"/>
        <v>44469</v>
      </c>
      <c r="D604" s="99" t="s">
        <v>571</v>
      </c>
      <c r="E604" s="47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39">
        <f t="shared" si="41"/>
        <v>44469</v>
      </c>
      <c r="D605" s="99" t="s">
        <v>573</v>
      </c>
      <c r="E605" s="47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39">
        <f t="shared" si="41"/>
        <v>44469</v>
      </c>
      <c r="D606" s="99" t="s">
        <v>575</v>
      </c>
      <c r="E606" s="47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39">
        <f t="shared" si="41"/>
        <v>44469</v>
      </c>
      <c r="D607" s="99" t="s">
        <v>576</v>
      </c>
      <c r="E607" s="47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39">
        <f t="shared" si="41"/>
        <v>44469</v>
      </c>
      <c r="D608" s="99" t="s">
        <v>578</v>
      </c>
      <c r="E608" s="472">
        <v>5</v>
      </c>
      <c r="F608" s="99" t="s">
        <v>803</v>
      </c>
      <c r="H608" s="99">
        <f>'Справка 6'!H40</f>
        <v>742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39">
        <f t="shared" si="41"/>
        <v>44469</v>
      </c>
      <c r="D609" s="99" t="s">
        <v>581</v>
      </c>
      <c r="E609" s="47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39">
        <f t="shared" si="41"/>
        <v>44469</v>
      </c>
      <c r="D610" s="99" t="s">
        <v>583</v>
      </c>
      <c r="E610" s="472">
        <v>5</v>
      </c>
      <c r="F610" s="99" t="s">
        <v>582</v>
      </c>
      <c r="H610" s="99">
        <f>'Справка 6'!H42</f>
        <v>742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39">
        <f t="shared" si="41"/>
        <v>44469</v>
      </c>
      <c r="D611" s="99" t="s">
        <v>523</v>
      </c>
      <c r="E611" s="472">
        <v>6</v>
      </c>
      <c r="F611" s="99" t="s">
        <v>522</v>
      </c>
      <c r="H611" s="99">
        <f>'Справка 6'!I11</f>
        <v>24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39">
        <f t="shared" si="41"/>
        <v>44469</v>
      </c>
      <c r="D612" s="99" t="s">
        <v>526</v>
      </c>
      <c r="E612" s="472">
        <v>6</v>
      </c>
      <c r="F612" s="99" t="s">
        <v>525</v>
      </c>
      <c r="H612" s="99">
        <f>'Справка 6'!I12</f>
        <v>2103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39">
        <f t="shared" si="41"/>
        <v>44469</v>
      </c>
      <c r="D613" s="99" t="s">
        <v>529</v>
      </c>
      <c r="E613" s="47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39">
        <f t="shared" si="41"/>
        <v>44469</v>
      </c>
      <c r="D614" s="99" t="s">
        <v>532</v>
      </c>
      <c r="E614" s="47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39">
        <f t="shared" si="41"/>
        <v>44469</v>
      </c>
      <c r="D615" s="99" t="s">
        <v>535</v>
      </c>
      <c r="E615" s="47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39">
        <f t="shared" si="41"/>
        <v>44469</v>
      </c>
      <c r="D616" s="99" t="s">
        <v>537</v>
      </c>
      <c r="E616" s="47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39">
        <f t="shared" si="41"/>
        <v>44469</v>
      </c>
      <c r="D617" s="99" t="s">
        <v>540</v>
      </c>
      <c r="E617" s="472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39">
        <f t="shared" si="41"/>
        <v>44469</v>
      </c>
      <c r="D618" s="99" t="s">
        <v>543</v>
      </c>
      <c r="E618" s="47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39">
        <f t="shared" si="41"/>
        <v>44469</v>
      </c>
      <c r="D619" s="99" t="s">
        <v>545</v>
      </c>
      <c r="E619" s="472">
        <v>6</v>
      </c>
      <c r="F619" s="99" t="s">
        <v>804</v>
      </c>
      <c r="H619" s="99">
        <f>'Справка 6'!I19</f>
        <v>2127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39">
        <f t="shared" si="41"/>
        <v>44469</v>
      </c>
      <c r="D620" s="99" t="s">
        <v>547</v>
      </c>
      <c r="E620" s="47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39">
        <f t="shared" si="41"/>
        <v>44469</v>
      </c>
      <c r="D621" s="99" t="s">
        <v>549</v>
      </c>
      <c r="E621" s="47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39">
        <f t="shared" si="41"/>
        <v>44469</v>
      </c>
      <c r="D622" s="99" t="s">
        <v>553</v>
      </c>
      <c r="E622" s="47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39">
        <f t="shared" si="41"/>
        <v>44469</v>
      </c>
      <c r="D623" s="99" t="s">
        <v>555</v>
      </c>
      <c r="E623" s="47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39">
        <f t="shared" si="41"/>
        <v>44469</v>
      </c>
      <c r="D624" s="99" t="s">
        <v>557</v>
      </c>
      <c r="E624" s="47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39">
        <f t="shared" si="41"/>
        <v>44469</v>
      </c>
      <c r="D625" s="99" t="s">
        <v>558</v>
      </c>
      <c r="E625" s="47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39">
        <f t="shared" si="41"/>
        <v>44469</v>
      </c>
      <c r="D626" s="99" t="s">
        <v>560</v>
      </c>
      <c r="E626" s="47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39">
        <f t="shared" si="41"/>
        <v>44469</v>
      </c>
      <c r="D627" s="99" t="s">
        <v>562</v>
      </c>
      <c r="E627" s="472">
        <v>6</v>
      </c>
      <c r="F627" s="99" t="s">
        <v>561</v>
      </c>
      <c r="H627" s="99">
        <f>'Справка 6'!I29</f>
        <v>841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39">
        <f t="shared" si="41"/>
        <v>44469</v>
      </c>
      <c r="D628" s="99" t="s">
        <v>563</v>
      </c>
      <c r="E628" s="47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39">
        <f t="shared" si="41"/>
        <v>44469</v>
      </c>
      <c r="D629" s="99" t="s">
        <v>564</v>
      </c>
      <c r="E629" s="47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39">
        <f t="shared" si="41"/>
        <v>44469</v>
      </c>
      <c r="D630" s="99" t="s">
        <v>565</v>
      </c>
      <c r="E630" s="47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39">
        <f t="shared" si="41"/>
        <v>44469</v>
      </c>
      <c r="D631" s="99" t="s">
        <v>566</v>
      </c>
      <c r="E631" s="472">
        <v>6</v>
      </c>
      <c r="F631" s="99" t="s">
        <v>115</v>
      </c>
      <c r="H631" s="99">
        <f>'Справка 6'!I33</f>
        <v>841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39">
        <f t="shared" si="41"/>
        <v>44469</v>
      </c>
      <c r="D632" s="99" t="s">
        <v>568</v>
      </c>
      <c r="E632" s="47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39">
        <f t="shared" si="41"/>
        <v>44469</v>
      </c>
      <c r="D633" s="99" t="s">
        <v>569</v>
      </c>
      <c r="E633" s="47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39">
        <f t="shared" si="41"/>
        <v>44469</v>
      </c>
      <c r="D634" s="99" t="s">
        <v>571</v>
      </c>
      <c r="E634" s="47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39">
        <f t="shared" si="41"/>
        <v>44469</v>
      </c>
      <c r="D635" s="99" t="s">
        <v>573</v>
      </c>
      <c r="E635" s="47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39">
        <f t="shared" si="41"/>
        <v>44469</v>
      </c>
      <c r="D636" s="99" t="s">
        <v>575</v>
      </c>
      <c r="E636" s="47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39">
        <f t="shared" si="41"/>
        <v>44469</v>
      </c>
      <c r="D637" s="99" t="s">
        <v>576</v>
      </c>
      <c r="E637" s="47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39">
        <f t="shared" si="41"/>
        <v>44469</v>
      </c>
      <c r="D638" s="99" t="s">
        <v>578</v>
      </c>
      <c r="E638" s="472">
        <v>6</v>
      </c>
      <c r="F638" s="99" t="s">
        <v>803</v>
      </c>
      <c r="H638" s="99">
        <f>'Справка 6'!I40</f>
        <v>841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39">
        <f t="shared" si="41"/>
        <v>44469</v>
      </c>
      <c r="D639" s="99" t="s">
        <v>581</v>
      </c>
      <c r="E639" s="47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39">
        <f t="shared" si="41"/>
        <v>44469</v>
      </c>
      <c r="D640" s="99" t="s">
        <v>583</v>
      </c>
      <c r="E640" s="472">
        <v>6</v>
      </c>
      <c r="F640" s="99" t="s">
        <v>582</v>
      </c>
      <c r="H640" s="99">
        <f>'Справка 6'!I42</f>
        <v>2968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39">
        <f t="shared" si="41"/>
        <v>44469</v>
      </c>
      <c r="D641" s="99" t="s">
        <v>523</v>
      </c>
      <c r="E641" s="472">
        <v>7</v>
      </c>
      <c r="F641" s="99" t="s">
        <v>522</v>
      </c>
      <c r="H641" s="99">
        <f>'Справка 6'!J11</f>
        <v>59045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39">
        <f t="shared" si="41"/>
        <v>44469</v>
      </c>
      <c r="D642" s="99" t="s">
        <v>526</v>
      </c>
      <c r="E642" s="472">
        <v>7</v>
      </c>
      <c r="F642" s="99" t="s">
        <v>525</v>
      </c>
      <c r="H642" s="99">
        <f>'Справка 6'!J12</f>
        <v>274351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39">
        <f t="shared" si="41"/>
        <v>44469</v>
      </c>
      <c r="D643" s="99" t="s">
        <v>529</v>
      </c>
      <c r="E643" s="472">
        <v>7</v>
      </c>
      <c r="F643" s="99" t="s">
        <v>528</v>
      </c>
      <c r="H643" s="99">
        <f>'Справка 6'!J13</f>
        <v>243354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39">
        <f t="shared" si="41"/>
        <v>44469</v>
      </c>
      <c r="D644" s="99" t="s">
        <v>532</v>
      </c>
      <c r="E644" s="472">
        <v>7</v>
      </c>
      <c r="F644" s="99" t="s">
        <v>531</v>
      </c>
      <c r="H644" s="99">
        <f>'Справка 6'!J14</f>
        <v>23191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39">
        <f t="shared" si="41"/>
        <v>44469</v>
      </c>
      <c r="D645" s="99" t="s">
        <v>535</v>
      </c>
      <c r="E645" s="472">
        <v>7</v>
      </c>
      <c r="F645" s="99" t="s">
        <v>534</v>
      </c>
      <c r="H645" s="99">
        <f>'Справка 6'!J15</f>
        <v>24092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39">
        <f t="shared" si="41"/>
        <v>44469</v>
      </c>
      <c r="D646" s="99" t="s">
        <v>537</v>
      </c>
      <c r="E646" s="472">
        <v>7</v>
      </c>
      <c r="F646" s="99" t="s">
        <v>536</v>
      </c>
      <c r="H646" s="99">
        <f>'Справка 6'!J16</f>
        <v>29285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39">
        <f t="shared" si="41"/>
        <v>44469</v>
      </c>
      <c r="D647" s="99" t="s">
        <v>540</v>
      </c>
      <c r="E647" s="472">
        <v>7</v>
      </c>
      <c r="F647" s="99" t="s">
        <v>539</v>
      </c>
      <c r="H647" s="99">
        <f>'Справка 6'!J17</f>
        <v>7061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39">
        <f t="shared" si="41"/>
        <v>44469</v>
      </c>
      <c r="D648" s="99" t="s">
        <v>543</v>
      </c>
      <c r="E648" s="472">
        <v>7</v>
      </c>
      <c r="F648" s="99" t="s">
        <v>542</v>
      </c>
      <c r="H648" s="99">
        <f>'Справка 6'!J18</f>
        <v>445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39">
        <f t="shared" si="41"/>
        <v>44469</v>
      </c>
      <c r="D649" s="99" t="s">
        <v>545</v>
      </c>
      <c r="E649" s="472">
        <v>7</v>
      </c>
      <c r="F649" s="99" t="s">
        <v>804</v>
      </c>
      <c r="H649" s="99">
        <f>'Справка 6'!J19</f>
        <v>660824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39">
        <f t="shared" si="41"/>
        <v>44469</v>
      </c>
      <c r="D650" s="99" t="s">
        <v>547</v>
      </c>
      <c r="E650" s="472">
        <v>7</v>
      </c>
      <c r="F650" s="99" t="s">
        <v>546</v>
      </c>
      <c r="H650" s="99">
        <f>'Справка 6'!J20</f>
        <v>10132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39">
        <f t="shared" si="41"/>
        <v>44469</v>
      </c>
      <c r="D651" s="99" t="s">
        <v>549</v>
      </c>
      <c r="E651" s="472">
        <v>7</v>
      </c>
      <c r="F651" s="99" t="s">
        <v>548</v>
      </c>
      <c r="H651" s="99">
        <f>'Справка 6'!J21</f>
        <v>344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39">
        <f t="shared" si="41"/>
        <v>44469</v>
      </c>
      <c r="D652" s="99" t="s">
        <v>553</v>
      </c>
      <c r="E652" s="472">
        <v>7</v>
      </c>
      <c r="F652" s="99" t="s">
        <v>552</v>
      </c>
      <c r="H652" s="99">
        <f>'Справка 6'!J23</f>
        <v>79751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39">
        <f t="shared" ref="C653:C716" si="44">endDate</f>
        <v>44469</v>
      </c>
      <c r="D653" s="99" t="s">
        <v>555</v>
      </c>
      <c r="E653" s="472">
        <v>7</v>
      </c>
      <c r="F653" s="99" t="s">
        <v>554</v>
      </c>
      <c r="H653" s="99">
        <f>'Справка 6'!J24</f>
        <v>28455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39">
        <f t="shared" si="44"/>
        <v>44469</v>
      </c>
      <c r="D654" s="99" t="s">
        <v>557</v>
      </c>
      <c r="E654" s="47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39">
        <f t="shared" si="44"/>
        <v>44469</v>
      </c>
      <c r="D655" s="99" t="s">
        <v>558</v>
      </c>
      <c r="E655" s="472">
        <v>7</v>
      </c>
      <c r="F655" s="99" t="s">
        <v>542</v>
      </c>
      <c r="H655" s="99">
        <f>'Справка 6'!J26</f>
        <v>10867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39">
        <f t="shared" si="44"/>
        <v>44469</v>
      </c>
      <c r="D656" s="99" t="s">
        <v>560</v>
      </c>
      <c r="E656" s="472">
        <v>7</v>
      </c>
      <c r="F656" s="99" t="s">
        <v>838</v>
      </c>
      <c r="H656" s="99">
        <f>'Справка 6'!J27</f>
        <v>119073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39">
        <f t="shared" si="44"/>
        <v>44469</v>
      </c>
      <c r="D657" s="99" t="s">
        <v>562</v>
      </c>
      <c r="E657" s="472">
        <v>7</v>
      </c>
      <c r="F657" s="99" t="s">
        <v>561</v>
      </c>
      <c r="H657" s="99">
        <f>'Справка 6'!J29</f>
        <v>92130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39">
        <f t="shared" si="44"/>
        <v>44469</v>
      </c>
      <c r="D658" s="99" t="s">
        <v>563</v>
      </c>
      <c r="E658" s="47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39">
        <f t="shared" si="44"/>
        <v>44469</v>
      </c>
      <c r="D659" s="99" t="s">
        <v>564</v>
      </c>
      <c r="E659" s="472">
        <v>7</v>
      </c>
      <c r="F659" s="99" t="s">
        <v>110</v>
      </c>
      <c r="H659" s="99">
        <f>'Справка 6'!J31</f>
        <v>2074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39">
        <f t="shared" si="44"/>
        <v>44469</v>
      </c>
      <c r="D660" s="99" t="s">
        <v>565</v>
      </c>
      <c r="E660" s="472">
        <v>7</v>
      </c>
      <c r="F660" s="99" t="s">
        <v>113</v>
      </c>
      <c r="H660" s="99">
        <f>'Справка 6'!J32</f>
        <v>75311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39">
        <f t="shared" si="44"/>
        <v>44469</v>
      </c>
      <c r="D661" s="99" t="s">
        <v>566</v>
      </c>
      <c r="E661" s="472">
        <v>7</v>
      </c>
      <c r="F661" s="99" t="s">
        <v>115</v>
      </c>
      <c r="H661" s="99">
        <f>'Справка 6'!J33</f>
        <v>14745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39">
        <f t="shared" si="44"/>
        <v>44469</v>
      </c>
      <c r="D662" s="99" t="s">
        <v>568</v>
      </c>
      <c r="E662" s="47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39">
        <f t="shared" si="44"/>
        <v>44469</v>
      </c>
      <c r="D663" s="99" t="s">
        <v>569</v>
      </c>
      <c r="E663" s="47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39">
        <f t="shared" si="44"/>
        <v>44469</v>
      </c>
      <c r="D664" s="99" t="s">
        <v>571</v>
      </c>
      <c r="E664" s="47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39">
        <f t="shared" si="44"/>
        <v>44469</v>
      </c>
      <c r="D665" s="99" t="s">
        <v>573</v>
      </c>
      <c r="E665" s="47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39">
        <f t="shared" si="44"/>
        <v>44469</v>
      </c>
      <c r="D666" s="99" t="s">
        <v>575</v>
      </c>
      <c r="E666" s="47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39">
        <f t="shared" si="44"/>
        <v>44469</v>
      </c>
      <c r="D667" s="99" t="s">
        <v>576</v>
      </c>
      <c r="E667" s="47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39">
        <f t="shared" si="44"/>
        <v>44469</v>
      </c>
      <c r="D668" s="99" t="s">
        <v>578</v>
      </c>
      <c r="E668" s="472">
        <v>7</v>
      </c>
      <c r="F668" s="99" t="s">
        <v>803</v>
      </c>
      <c r="H668" s="99">
        <f>'Справка 6'!J40</f>
        <v>92130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39">
        <f t="shared" si="44"/>
        <v>44469</v>
      </c>
      <c r="D669" s="99" t="s">
        <v>581</v>
      </c>
      <c r="E669" s="472">
        <v>7</v>
      </c>
      <c r="F669" s="99" t="s">
        <v>580</v>
      </c>
      <c r="H669" s="99">
        <f>'Справка 6'!J41</f>
        <v>31305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39">
        <f t="shared" si="44"/>
        <v>44469</v>
      </c>
      <c r="D670" s="99" t="s">
        <v>583</v>
      </c>
      <c r="E670" s="472">
        <v>7</v>
      </c>
      <c r="F670" s="99" t="s">
        <v>582</v>
      </c>
      <c r="H670" s="99">
        <f>'Справка 6'!J42</f>
        <v>913808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39">
        <f t="shared" si="44"/>
        <v>44469</v>
      </c>
      <c r="D671" s="99" t="s">
        <v>523</v>
      </c>
      <c r="E671" s="472">
        <v>8</v>
      </c>
      <c r="F671" s="99" t="s">
        <v>522</v>
      </c>
      <c r="H671" s="99">
        <f>'Справка 6'!K11</f>
        <v>8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39">
        <f t="shared" si="44"/>
        <v>44469</v>
      </c>
      <c r="D672" s="99" t="s">
        <v>526</v>
      </c>
      <c r="E672" s="472">
        <v>8</v>
      </c>
      <c r="F672" s="99" t="s">
        <v>525</v>
      </c>
      <c r="H672" s="99">
        <f>'Справка 6'!K12</f>
        <v>83141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39">
        <f t="shared" si="44"/>
        <v>44469</v>
      </c>
      <c r="D673" s="99" t="s">
        <v>529</v>
      </c>
      <c r="E673" s="472">
        <v>8</v>
      </c>
      <c r="F673" s="99" t="s">
        <v>528</v>
      </c>
      <c r="H673" s="99">
        <f>'Справка 6'!K13</f>
        <v>144208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39">
        <f t="shared" si="44"/>
        <v>44469</v>
      </c>
      <c r="D674" s="99" t="s">
        <v>532</v>
      </c>
      <c r="E674" s="472">
        <v>8</v>
      </c>
      <c r="F674" s="99" t="s">
        <v>531</v>
      </c>
      <c r="H674" s="99">
        <f>'Справка 6'!K14</f>
        <v>9075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39">
        <f t="shared" si="44"/>
        <v>44469</v>
      </c>
      <c r="D675" s="99" t="s">
        <v>535</v>
      </c>
      <c r="E675" s="472">
        <v>8</v>
      </c>
      <c r="F675" s="99" t="s">
        <v>534</v>
      </c>
      <c r="H675" s="99">
        <f>'Справка 6'!K15</f>
        <v>15124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39">
        <f t="shared" si="44"/>
        <v>44469</v>
      </c>
      <c r="D676" s="99" t="s">
        <v>537</v>
      </c>
      <c r="E676" s="472">
        <v>8</v>
      </c>
      <c r="F676" s="99" t="s">
        <v>536</v>
      </c>
      <c r="H676" s="99">
        <f>'Справка 6'!K16</f>
        <v>17693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39">
        <f t="shared" si="44"/>
        <v>44469</v>
      </c>
      <c r="D677" s="99" t="s">
        <v>540</v>
      </c>
      <c r="E677" s="472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39">
        <f t="shared" si="44"/>
        <v>44469</v>
      </c>
      <c r="D678" s="99" t="s">
        <v>543</v>
      </c>
      <c r="E678" s="472">
        <v>8</v>
      </c>
      <c r="F678" s="99" t="s">
        <v>542</v>
      </c>
      <c r="H678" s="99">
        <f>'Справка 6'!K18</f>
        <v>154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39">
        <f t="shared" si="44"/>
        <v>44469</v>
      </c>
      <c r="D679" s="99" t="s">
        <v>545</v>
      </c>
      <c r="E679" s="472">
        <v>8</v>
      </c>
      <c r="F679" s="99" t="s">
        <v>804</v>
      </c>
      <c r="H679" s="99">
        <f>'Справка 6'!K19</f>
        <v>269403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39">
        <f t="shared" si="44"/>
        <v>44469</v>
      </c>
      <c r="D680" s="99" t="s">
        <v>547</v>
      </c>
      <c r="E680" s="47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39">
        <f t="shared" si="44"/>
        <v>44469</v>
      </c>
      <c r="D681" s="99" t="s">
        <v>549</v>
      </c>
      <c r="E681" s="472">
        <v>8</v>
      </c>
      <c r="F681" s="99" t="s">
        <v>548</v>
      </c>
      <c r="H681" s="99">
        <f>'Справка 6'!K21</f>
        <v>29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39">
        <f t="shared" si="44"/>
        <v>44469</v>
      </c>
      <c r="D682" s="99" t="s">
        <v>553</v>
      </c>
      <c r="E682" s="472">
        <v>8</v>
      </c>
      <c r="F682" s="99" t="s">
        <v>552</v>
      </c>
      <c r="H682" s="99">
        <f>'Справка 6'!K23</f>
        <v>44478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39">
        <f t="shared" si="44"/>
        <v>44469</v>
      </c>
      <c r="D683" s="99" t="s">
        <v>555</v>
      </c>
      <c r="E683" s="472">
        <v>8</v>
      </c>
      <c r="F683" s="99" t="s">
        <v>554</v>
      </c>
      <c r="H683" s="99">
        <f>'Справка 6'!K24</f>
        <v>13225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39">
        <f t="shared" si="44"/>
        <v>44469</v>
      </c>
      <c r="D684" s="99" t="s">
        <v>557</v>
      </c>
      <c r="E684" s="47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39">
        <f t="shared" si="44"/>
        <v>44469</v>
      </c>
      <c r="D685" s="99" t="s">
        <v>558</v>
      </c>
      <c r="E685" s="472">
        <v>8</v>
      </c>
      <c r="F685" s="99" t="s">
        <v>542</v>
      </c>
      <c r="H685" s="99">
        <f>'Справка 6'!K26</f>
        <v>2362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39">
        <f t="shared" si="44"/>
        <v>44469</v>
      </c>
      <c r="D686" s="99" t="s">
        <v>560</v>
      </c>
      <c r="E686" s="472">
        <v>8</v>
      </c>
      <c r="F686" s="99" t="s">
        <v>838</v>
      </c>
      <c r="H686" s="99">
        <f>'Справка 6'!K27</f>
        <v>60065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39">
        <f t="shared" si="44"/>
        <v>44469</v>
      </c>
      <c r="D687" s="99" t="s">
        <v>562</v>
      </c>
      <c r="E687" s="47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39">
        <f t="shared" si="44"/>
        <v>44469</v>
      </c>
      <c r="D688" s="99" t="s">
        <v>563</v>
      </c>
      <c r="E688" s="47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39">
        <f t="shared" si="44"/>
        <v>44469</v>
      </c>
      <c r="D689" s="99" t="s">
        <v>564</v>
      </c>
      <c r="E689" s="47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39">
        <f t="shared" si="44"/>
        <v>44469</v>
      </c>
      <c r="D690" s="99" t="s">
        <v>565</v>
      </c>
      <c r="E690" s="47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39">
        <f t="shared" si="44"/>
        <v>44469</v>
      </c>
      <c r="D691" s="99" t="s">
        <v>566</v>
      </c>
      <c r="E691" s="47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39">
        <f t="shared" si="44"/>
        <v>44469</v>
      </c>
      <c r="D692" s="99" t="s">
        <v>568</v>
      </c>
      <c r="E692" s="47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39">
        <f t="shared" si="44"/>
        <v>44469</v>
      </c>
      <c r="D693" s="99" t="s">
        <v>569</v>
      </c>
      <c r="E693" s="47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39">
        <f t="shared" si="44"/>
        <v>44469</v>
      </c>
      <c r="D694" s="99" t="s">
        <v>571</v>
      </c>
      <c r="E694" s="47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39">
        <f t="shared" si="44"/>
        <v>44469</v>
      </c>
      <c r="D695" s="99" t="s">
        <v>573</v>
      </c>
      <c r="E695" s="47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39">
        <f t="shared" si="44"/>
        <v>44469</v>
      </c>
      <c r="D696" s="99" t="s">
        <v>575</v>
      </c>
      <c r="E696" s="47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39">
        <f t="shared" si="44"/>
        <v>44469</v>
      </c>
      <c r="D697" s="99" t="s">
        <v>576</v>
      </c>
      <c r="E697" s="47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39">
        <f t="shared" si="44"/>
        <v>44469</v>
      </c>
      <c r="D698" s="99" t="s">
        <v>578</v>
      </c>
      <c r="E698" s="47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39">
        <f t="shared" si="44"/>
        <v>44469</v>
      </c>
      <c r="D699" s="99" t="s">
        <v>581</v>
      </c>
      <c r="E699" s="472">
        <v>8</v>
      </c>
      <c r="F699" s="99" t="s">
        <v>580</v>
      </c>
      <c r="H699" s="99">
        <f>'Справка 6'!K41</f>
        <v>17888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39">
        <f t="shared" si="44"/>
        <v>44469</v>
      </c>
      <c r="D700" s="99" t="s">
        <v>583</v>
      </c>
      <c r="E700" s="472">
        <v>8</v>
      </c>
      <c r="F700" s="99" t="s">
        <v>582</v>
      </c>
      <c r="H700" s="99">
        <f>'Справка 6'!K42</f>
        <v>347385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39">
        <f t="shared" si="44"/>
        <v>44469</v>
      </c>
      <c r="D701" s="99" t="s">
        <v>523</v>
      </c>
      <c r="E701" s="472">
        <v>9</v>
      </c>
      <c r="F701" s="99" t="s">
        <v>522</v>
      </c>
      <c r="H701" s="99">
        <f>'Справка 6'!L11</f>
        <v>5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39">
        <f t="shared" si="44"/>
        <v>44469</v>
      </c>
      <c r="D702" s="99" t="s">
        <v>526</v>
      </c>
      <c r="E702" s="472">
        <v>9</v>
      </c>
      <c r="F702" s="99" t="s">
        <v>525</v>
      </c>
      <c r="H702" s="99">
        <f>'Справка 6'!L12</f>
        <v>18110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39">
        <f t="shared" si="44"/>
        <v>44469</v>
      </c>
      <c r="D703" s="99" t="s">
        <v>529</v>
      </c>
      <c r="E703" s="472">
        <v>9</v>
      </c>
      <c r="F703" s="99" t="s">
        <v>528</v>
      </c>
      <c r="H703" s="99">
        <f>'Справка 6'!L13</f>
        <v>10072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39">
        <f t="shared" si="44"/>
        <v>44469</v>
      </c>
      <c r="D704" s="99" t="s">
        <v>532</v>
      </c>
      <c r="E704" s="472">
        <v>9</v>
      </c>
      <c r="F704" s="99" t="s">
        <v>531</v>
      </c>
      <c r="H704" s="99">
        <f>'Справка 6'!L14</f>
        <v>1290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39">
        <f t="shared" si="44"/>
        <v>44469</v>
      </c>
      <c r="D705" s="99" t="s">
        <v>535</v>
      </c>
      <c r="E705" s="472">
        <v>9</v>
      </c>
      <c r="F705" s="99" t="s">
        <v>534</v>
      </c>
      <c r="H705" s="99">
        <f>'Справка 6'!L15</f>
        <v>3029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39">
        <f t="shared" si="44"/>
        <v>44469</v>
      </c>
      <c r="D706" s="99" t="s">
        <v>537</v>
      </c>
      <c r="E706" s="472">
        <v>9</v>
      </c>
      <c r="F706" s="99" t="s">
        <v>536</v>
      </c>
      <c r="H706" s="99">
        <f>'Справка 6'!L16</f>
        <v>2111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39">
        <f t="shared" si="44"/>
        <v>44469</v>
      </c>
      <c r="D707" s="99" t="s">
        <v>540</v>
      </c>
      <c r="E707" s="47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39">
        <f t="shared" si="44"/>
        <v>44469</v>
      </c>
      <c r="D708" s="99" t="s">
        <v>543</v>
      </c>
      <c r="E708" s="472">
        <v>9</v>
      </c>
      <c r="F708" s="99" t="s">
        <v>542</v>
      </c>
      <c r="H708" s="99">
        <f>'Справка 6'!L18</f>
        <v>48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39">
        <f t="shared" si="44"/>
        <v>44469</v>
      </c>
      <c r="D709" s="99" t="s">
        <v>545</v>
      </c>
      <c r="E709" s="472">
        <v>9</v>
      </c>
      <c r="F709" s="99" t="s">
        <v>804</v>
      </c>
      <c r="H709" s="99">
        <f>'Справка 6'!L19</f>
        <v>34665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39">
        <f t="shared" si="44"/>
        <v>44469</v>
      </c>
      <c r="D710" s="99" t="s">
        <v>547</v>
      </c>
      <c r="E710" s="47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39">
        <f t="shared" si="44"/>
        <v>44469</v>
      </c>
      <c r="D711" s="99" t="s">
        <v>549</v>
      </c>
      <c r="E711" s="472">
        <v>9</v>
      </c>
      <c r="F711" s="99" t="s">
        <v>548</v>
      </c>
      <c r="H711" s="99">
        <f>'Справка 6'!L21</f>
        <v>21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39">
        <f t="shared" si="44"/>
        <v>44469</v>
      </c>
      <c r="D712" s="99" t="s">
        <v>553</v>
      </c>
      <c r="E712" s="472">
        <v>9</v>
      </c>
      <c r="F712" s="99" t="s">
        <v>552</v>
      </c>
      <c r="H712" s="99">
        <f>'Справка 6'!L23</f>
        <v>5127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39">
        <f t="shared" si="44"/>
        <v>44469</v>
      </c>
      <c r="D713" s="99" t="s">
        <v>555</v>
      </c>
      <c r="E713" s="472">
        <v>9</v>
      </c>
      <c r="F713" s="99" t="s">
        <v>554</v>
      </c>
      <c r="H713" s="99">
        <f>'Справка 6'!L24</f>
        <v>2035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39">
        <f t="shared" si="44"/>
        <v>44469</v>
      </c>
      <c r="D714" s="99" t="s">
        <v>557</v>
      </c>
      <c r="E714" s="47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39">
        <f t="shared" si="44"/>
        <v>44469</v>
      </c>
      <c r="D715" s="99" t="s">
        <v>558</v>
      </c>
      <c r="E715" s="472">
        <v>9</v>
      </c>
      <c r="F715" s="99" t="s">
        <v>542</v>
      </c>
      <c r="H715" s="99">
        <f>'Справка 6'!L26</f>
        <v>0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39">
        <f t="shared" si="44"/>
        <v>44469</v>
      </c>
      <c r="D716" s="99" t="s">
        <v>560</v>
      </c>
      <c r="E716" s="472">
        <v>9</v>
      </c>
      <c r="F716" s="99" t="s">
        <v>838</v>
      </c>
      <c r="H716" s="99">
        <f>'Справка 6'!L27</f>
        <v>7162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39">
        <f t="shared" ref="C717:C780" si="47">endDate</f>
        <v>44469</v>
      </c>
      <c r="D717" s="99" t="s">
        <v>562</v>
      </c>
      <c r="E717" s="47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39">
        <f t="shared" si="47"/>
        <v>44469</v>
      </c>
      <c r="D718" s="99" t="s">
        <v>563</v>
      </c>
      <c r="E718" s="47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39">
        <f t="shared" si="47"/>
        <v>44469</v>
      </c>
      <c r="D719" s="99" t="s">
        <v>564</v>
      </c>
      <c r="E719" s="47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39">
        <f t="shared" si="47"/>
        <v>44469</v>
      </c>
      <c r="D720" s="99" t="s">
        <v>565</v>
      </c>
      <c r="E720" s="47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39">
        <f t="shared" si="47"/>
        <v>44469</v>
      </c>
      <c r="D721" s="99" t="s">
        <v>566</v>
      </c>
      <c r="E721" s="47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39">
        <f t="shared" si="47"/>
        <v>44469</v>
      </c>
      <c r="D722" s="99" t="s">
        <v>568</v>
      </c>
      <c r="E722" s="47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39">
        <f t="shared" si="47"/>
        <v>44469</v>
      </c>
      <c r="D723" s="99" t="s">
        <v>569</v>
      </c>
      <c r="E723" s="47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39">
        <f t="shared" si="47"/>
        <v>44469</v>
      </c>
      <c r="D724" s="99" t="s">
        <v>571</v>
      </c>
      <c r="E724" s="47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39">
        <f t="shared" si="47"/>
        <v>44469</v>
      </c>
      <c r="D725" s="99" t="s">
        <v>573</v>
      </c>
      <c r="E725" s="47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39">
        <f t="shared" si="47"/>
        <v>44469</v>
      </c>
      <c r="D726" s="99" t="s">
        <v>575</v>
      </c>
      <c r="E726" s="47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39">
        <f t="shared" si="47"/>
        <v>44469</v>
      </c>
      <c r="D727" s="99" t="s">
        <v>576</v>
      </c>
      <c r="E727" s="47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39">
        <f t="shared" si="47"/>
        <v>44469</v>
      </c>
      <c r="D728" s="99" t="s">
        <v>578</v>
      </c>
      <c r="E728" s="47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39">
        <f t="shared" si="47"/>
        <v>44469</v>
      </c>
      <c r="D729" s="99" t="s">
        <v>581</v>
      </c>
      <c r="E729" s="47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39">
        <f t="shared" si="47"/>
        <v>44469</v>
      </c>
      <c r="D730" s="99" t="s">
        <v>583</v>
      </c>
      <c r="E730" s="472">
        <v>9</v>
      </c>
      <c r="F730" s="99" t="s">
        <v>582</v>
      </c>
      <c r="H730" s="99">
        <f>'Справка 6'!L42</f>
        <v>41848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39">
        <f t="shared" si="47"/>
        <v>44469</v>
      </c>
      <c r="D731" s="99" t="s">
        <v>523</v>
      </c>
      <c r="E731" s="472">
        <v>10</v>
      </c>
      <c r="F731" s="99" t="s">
        <v>522</v>
      </c>
      <c r="H731" s="99">
        <f>'Справка 6'!M11</f>
        <v>10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39">
        <f t="shared" si="47"/>
        <v>44469</v>
      </c>
      <c r="D732" s="99" t="s">
        <v>526</v>
      </c>
      <c r="E732" s="472">
        <v>10</v>
      </c>
      <c r="F732" s="99" t="s">
        <v>525</v>
      </c>
      <c r="H732" s="99">
        <f>'Справка 6'!M12</f>
        <v>6040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39">
        <f t="shared" si="47"/>
        <v>44469</v>
      </c>
      <c r="D733" s="99" t="s">
        <v>529</v>
      </c>
      <c r="E733" s="472">
        <v>10</v>
      </c>
      <c r="F733" s="99" t="s">
        <v>528</v>
      </c>
      <c r="H733" s="99">
        <f>'Справка 6'!M13</f>
        <v>8627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39">
        <f t="shared" si="47"/>
        <v>44469</v>
      </c>
      <c r="D734" s="99" t="s">
        <v>532</v>
      </c>
      <c r="E734" s="472">
        <v>10</v>
      </c>
      <c r="F734" s="99" t="s">
        <v>531</v>
      </c>
      <c r="H734" s="99">
        <f>'Справка 6'!M14</f>
        <v>19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39">
        <f t="shared" si="47"/>
        <v>44469</v>
      </c>
      <c r="D735" s="99" t="s">
        <v>535</v>
      </c>
      <c r="E735" s="472">
        <v>10</v>
      </c>
      <c r="F735" s="99" t="s">
        <v>534</v>
      </c>
      <c r="H735" s="99">
        <f>'Справка 6'!M15</f>
        <v>4723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39">
        <f t="shared" si="47"/>
        <v>44469</v>
      </c>
      <c r="D736" s="99" t="s">
        <v>537</v>
      </c>
      <c r="E736" s="472">
        <v>10</v>
      </c>
      <c r="F736" s="99" t="s">
        <v>536</v>
      </c>
      <c r="H736" s="99">
        <f>'Справка 6'!M16</f>
        <v>1065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39">
        <f t="shared" si="47"/>
        <v>44469</v>
      </c>
      <c r="D737" s="99" t="s">
        <v>540</v>
      </c>
      <c r="E737" s="47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39">
        <f t="shared" si="47"/>
        <v>44469</v>
      </c>
      <c r="D738" s="99" t="s">
        <v>543</v>
      </c>
      <c r="E738" s="472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39">
        <f t="shared" si="47"/>
        <v>44469</v>
      </c>
      <c r="D739" s="99" t="s">
        <v>545</v>
      </c>
      <c r="E739" s="472">
        <v>10</v>
      </c>
      <c r="F739" s="99" t="s">
        <v>804</v>
      </c>
      <c r="H739" s="99">
        <f>'Справка 6'!M19</f>
        <v>20484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39">
        <f t="shared" si="47"/>
        <v>44469</v>
      </c>
      <c r="D740" s="99" t="s">
        <v>547</v>
      </c>
      <c r="E740" s="47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39">
        <f t="shared" si="47"/>
        <v>44469</v>
      </c>
      <c r="D741" s="99" t="s">
        <v>549</v>
      </c>
      <c r="E741" s="47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39">
        <f t="shared" si="47"/>
        <v>44469</v>
      </c>
      <c r="D742" s="99" t="s">
        <v>553</v>
      </c>
      <c r="E742" s="472">
        <v>10</v>
      </c>
      <c r="F742" s="99" t="s">
        <v>552</v>
      </c>
      <c r="H742" s="99">
        <f>'Справка 6'!M23</f>
        <v>2892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39">
        <f t="shared" si="47"/>
        <v>44469</v>
      </c>
      <c r="D743" s="99" t="s">
        <v>555</v>
      </c>
      <c r="E743" s="472">
        <v>10</v>
      </c>
      <c r="F743" s="99" t="s">
        <v>554</v>
      </c>
      <c r="H743" s="99">
        <f>'Справка 6'!M24</f>
        <v>85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39">
        <f t="shared" si="47"/>
        <v>44469</v>
      </c>
      <c r="D744" s="99" t="s">
        <v>557</v>
      </c>
      <c r="E744" s="47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39">
        <f t="shared" si="47"/>
        <v>44469</v>
      </c>
      <c r="D745" s="99" t="s">
        <v>558</v>
      </c>
      <c r="E745" s="47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39">
        <f t="shared" si="47"/>
        <v>44469</v>
      </c>
      <c r="D746" s="99" t="s">
        <v>560</v>
      </c>
      <c r="E746" s="472">
        <v>10</v>
      </c>
      <c r="F746" s="99" t="s">
        <v>838</v>
      </c>
      <c r="H746" s="99">
        <f>'Справка 6'!M27</f>
        <v>2977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39">
        <f t="shared" si="47"/>
        <v>44469</v>
      </c>
      <c r="D747" s="99" t="s">
        <v>562</v>
      </c>
      <c r="E747" s="47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39">
        <f t="shared" si="47"/>
        <v>44469</v>
      </c>
      <c r="D748" s="99" t="s">
        <v>563</v>
      </c>
      <c r="E748" s="47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39">
        <f t="shared" si="47"/>
        <v>44469</v>
      </c>
      <c r="D749" s="99" t="s">
        <v>564</v>
      </c>
      <c r="E749" s="47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39">
        <f t="shared" si="47"/>
        <v>44469</v>
      </c>
      <c r="D750" s="99" t="s">
        <v>565</v>
      </c>
      <c r="E750" s="47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39">
        <f t="shared" si="47"/>
        <v>44469</v>
      </c>
      <c r="D751" s="99" t="s">
        <v>566</v>
      </c>
      <c r="E751" s="47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39">
        <f t="shared" si="47"/>
        <v>44469</v>
      </c>
      <c r="D752" s="99" t="s">
        <v>568</v>
      </c>
      <c r="E752" s="47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39">
        <f t="shared" si="47"/>
        <v>44469</v>
      </c>
      <c r="D753" s="99" t="s">
        <v>569</v>
      </c>
      <c r="E753" s="47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39">
        <f t="shared" si="47"/>
        <v>44469</v>
      </c>
      <c r="D754" s="99" t="s">
        <v>571</v>
      </c>
      <c r="E754" s="47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39">
        <f t="shared" si="47"/>
        <v>44469</v>
      </c>
      <c r="D755" s="99" t="s">
        <v>573</v>
      </c>
      <c r="E755" s="47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39">
        <f t="shared" si="47"/>
        <v>44469</v>
      </c>
      <c r="D756" s="99" t="s">
        <v>575</v>
      </c>
      <c r="E756" s="47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39">
        <f t="shared" si="47"/>
        <v>44469</v>
      </c>
      <c r="D757" s="99" t="s">
        <v>576</v>
      </c>
      <c r="E757" s="47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39">
        <f t="shared" si="47"/>
        <v>44469</v>
      </c>
      <c r="D758" s="99" t="s">
        <v>578</v>
      </c>
      <c r="E758" s="47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39">
        <f t="shared" si="47"/>
        <v>44469</v>
      </c>
      <c r="D759" s="99" t="s">
        <v>581</v>
      </c>
      <c r="E759" s="47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39">
        <f t="shared" si="47"/>
        <v>44469</v>
      </c>
      <c r="D760" s="99" t="s">
        <v>583</v>
      </c>
      <c r="E760" s="472">
        <v>10</v>
      </c>
      <c r="F760" s="99" t="s">
        <v>582</v>
      </c>
      <c r="H760" s="99">
        <f>'Справка 6'!M42</f>
        <v>23461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39">
        <f t="shared" si="47"/>
        <v>44469</v>
      </c>
      <c r="D761" s="99" t="s">
        <v>523</v>
      </c>
      <c r="E761" s="472">
        <v>11</v>
      </c>
      <c r="F761" s="99" t="s">
        <v>522</v>
      </c>
      <c r="H761" s="99">
        <f>'Справка 6'!N11</f>
        <v>3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39">
        <f t="shared" si="47"/>
        <v>44469</v>
      </c>
      <c r="D762" s="99" t="s">
        <v>526</v>
      </c>
      <c r="E762" s="472">
        <v>11</v>
      </c>
      <c r="F762" s="99" t="s">
        <v>525</v>
      </c>
      <c r="H762" s="99">
        <f>'Справка 6'!N12</f>
        <v>95211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39">
        <f t="shared" si="47"/>
        <v>44469</v>
      </c>
      <c r="D763" s="99" t="s">
        <v>529</v>
      </c>
      <c r="E763" s="472">
        <v>11</v>
      </c>
      <c r="F763" s="99" t="s">
        <v>528</v>
      </c>
      <c r="H763" s="99">
        <f>'Справка 6'!N13</f>
        <v>145653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39">
        <f t="shared" si="47"/>
        <v>44469</v>
      </c>
      <c r="D764" s="99" t="s">
        <v>532</v>
      </c>
      <c r="E764" s="472">
        <v>11</v>
      </c>
      <c r="F764" s="99" t="s">
        <v>531</v>
      </c>
      <c r="H764" s="99">
        <f>'Справка 6'!N14</f>
        <v>10346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39">
        <f t="shared" si="47"/>
        <v>44469</v>
      </c>
      <c r="D765" s="99" t="s">
        <v>535</v>
      </c>
      <c r="E765" s="472">
        <v>11</v>
      </c>
      <c r="F765" s="99" t="s">
        <v>534</v>
      </c>
      <c r="H765" s="99">
        <f>'Справка 6'!N15</f>
        <v>13430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39">
        <f t="shared" si="47"/>
        <v>44469</v>
      </c>
      <c r="D766" s="99" t="s">
        <v>537</v>
      </c>
      <c r="E766" s="472">
        <v>11</v>
      </c>
      <c r="F766" s="99" t="s">
        <v>536</v>
      </c>
      <c r="H766" s="99">
        <f>'Справка 6'!N16</f>
        <v>18739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39">
        <f t="shared" si="47"/>
        <v>44469</v>
      </c>
      <c r="D767" s="99" t="s">
        <v>540</v>
      </c>
      <c r="E767" s="472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39">
        <f t="shared" si="47"/>
        <v>44469</v>
      </c>
      <c r="D768" s="99" t="s">
        <v>543</v>
      </c>
      <c r="E768" s="472">
        <v>11</v>
      </c>
      <c r="F768" s="99" t="s">
        <v>542</v>
      </c>
      <c r="H768" s="99">
        <f>'Справка 6'!N18</f>
        <v>202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39">
        <f t="shared" si="47"/>
        <v>44469</v>
      </c>
      <c r="D769" s="99" t="s">
        <v>545</v>
      </c>
      <c r="E769" s="472">
        <v>11</v>
      </c>
      <c r="F769" s="99" t="s">
        <v>804</v>
      </c>
      <c r="H769" s="99">
        <f>'Справка 6'!N19</f>
        <v>283584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39">
        <f t="shared" si="47"/>
        <v>44469</v>
      </c>
      <c r="D770" s="99" t="s">
        <v>547</v>
      </c>
      <c r="E770" s="47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39">
        <f t="shared" si="47"/>
        <v>44469</v>
      </c>
      <c r="D771" s="99" t="s">
        <v>549</v>
      </c>
      <c r="E771" s="472">
        <v>11</v>
      </c>
      <c r="F771" s="99" t="s">
        <v>548</v>
      </c>
      <c r="H771" s="99">
        <f>'Справка 6'!N21</f>
        <v>50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39">
        <f t="shared" si="47"/>
        <v>44469</v>
      </c>
      <c r="D772" s="99" t="s">
        <v>553</v>
      </c>
      <c r="E772" s="472">
        <v>11</v>
      </c>
      <c r="F772" s="99" t="s">
        <v>552</v>
      </c>
      <c r="H772" s="99">
        <f>'Справка 6'!N23</f>
        <v>46713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39">
        <f t="shared" si="47"/>
        <v>44469</v>
      </c>
      <c r="D773" s="99" t="s">
        <v>555</v>
      </c>
      <c r="E773" s="472">
        <v>11</v>
      </c>
      <c r="F773" s="99" t="s">
        <v>554</v>
      </c>
      <c r="H773" s="99">
        <f>'Справка 6'!N24</f>
        <v>15175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39">
        <f t="shared" si="47"/>
        <v>44469</v>
      </c>
      <c r="D774" s="99" t="s">
        <v>557</v>
      </c>
      <c r="E774" s="47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39">
        <f t="shared" si="47"/>
        <v>44469</v>
      </c>
      <c r="D775" s="99" t="s">
        <v>558</v>
      </c>
      <c r="E775" s="472">
        <v>11</v>
      </c>
      <c r="F775" s="99" t="s">
        <v>542</v>
      </c>
      <c r="H775" s="99">
        <f>'Справка 6'!N26</f>
        <v>2362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39">
        <f t="shared" si="47"/>
        <v>44469</v>
      </c>
      <c r="D776" s="99" t="s">
        <v>560</v>
      </c>
      <c r="E776" s="472">
        <v>11</v>
      </c>
      <c r="F776" s="99" t="s">
        <v>838</v>
      </c>
      <c r="H776" s="99">
        <f>'Справка 6'!N27</f>
        <v>64250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39">
        <f t="shared" si="47"/>
        <v>44469</v>
      </c>
      <c r="D777" s="99" t="s">
        <v>562</v>
      </c>
      <c r="E777" s="47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39">
        <f t="shared" si="47"/>
        <v>44469</v>
      </c>
      <c r="D778" s="99" t="s">
        <v>563</v>
      </c>
      <c r="E778" s="47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39">
        <f t="shared" si="47"/>
        <v>44469</v>
      </c>
      <c r="D779" s="99" t="s">
        <v>564</v>
      </c>
      <c r="E779" s="47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39">
        <f t="shared" si="47"/>
        <v>44469</v>
      </c>
      <c r="D780" s="99" t="s">
        <v>565</v>
      </c>
      <c r="E780" s="47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39">
        <f t="shared" ref="C781:C844" si="50">endDate</f>
        <v>44469</v>
      </c>
      <c r="D781" s="99" t="s">
        <v>566</v>
      </c>
      <c r="E781" s="47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39">
        <f t="shared" si="50"/>
        <v>44469</v>
      </c>
      <c r="D782" s="99" t="s">
        <v>568</v>
      </c>
      <c r="E782" s="47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39">
        <f t="shared" si="50"/>
        <v>44469</v>
      </c>
      <c r="D783" s="99" t="s">
        <v>569</v>
      </c>
      <c r="E783" s="47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39">
        <f t="shared" si="50"/>
        <v>44469</v>
      </c>
      <c r="D784" s="99" t="s">
        <v>571</v>
      </c>
      <c r="E784" s="47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39">
        <f t="shared" si="50"/>
        <v>44469</v>
      </c>
      <c r="D785" s="99" t="s">
        <v>573</v>
      </c>
      <c r="E785" s="47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39">
        <f t="shared" si="50"/>
        <v>44469</v>
      </c>
      <c r="D786" s="99" t="s">
        <v>575</v>
      </c>
      <c r="E786" s="47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39">
        <f t="shared" si="50"/>
        <v>44469</v>
      </c>
      <c r="D787" s="99" t="s">
        <v>576</v>
      </c>
      <c r="E787" s="47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39">
        <f t="shared" si="50"/>
        <v>44469</v>
      </c>
      <c r="D788" s="99" t="s">
        <v>578</v>
      </c>
      <c r="E788" s="47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39">
        <f t="shared" si="50"/>
        <v>44469</v>
      </c>
      <c r="D789" s="99" t="s">
        <v>581</v>
      </c>
      <c r="E789" s="472">
        <v>11</v>
      </c>
      <c r="F789" s="99" t="s">
        <v>580</v>
      </c>
      <c r="H789" s="99">
        <f>'Справка 6'!N41</f>
        <v>17888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39">
        <f t="shared" si="50"/>
        <v>44469</v>
      </c>
      <c r="D790" s="99" t="s">
        <v>583</v>
      </c>
      <c r="E790" s="472">
        <v>11</v>
      </c>
      <c r="F790" s="99" t="s">
        <v>582</v>
      </c>
      <c r="H790" s="99">
        <f>'Справка 6'!N42</f>
        <v>365772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39">
        <f t="shared" si="50"/>
        <v>44469</v>
      </c>
      <c r="D791" s="99" t="s">
        <v>523</v>
      </c>
      <c r="E791" s="47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39">
        <f t="shared" si="50"/>
        <v>44469</v>
      </c>
      <c r="D792" s="99" t="s">
        <v>526</v>
      </c>
      <c r="E792" s="472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39">
        <f t="shared" si="50"/>
        <v>44469</v>
      </c>
      <c r="D793" s="99" t="s">
        <v>529</v>
      </c>
      <c r="E793" s="472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39">
        <f t="shared" si="50"/>
        <v>44469</v>
      </c>
      <c r="D794" s="99" t="s">
        <v>532</v>
      </c>
      <c r="E794" s="47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39">
        <f t="shared" si="50"/>
        <v>44469</v>
      </c>
      <c r="D795" s="99" t="s">
        <v>535</v>
      </c>
      <c r="E795" s="47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39">
        <f t="shared" si="50"/>
        <v>44469</v>
      </c>
      <c r="D796" s="99" t="s">
        <v>537</v>
      </c>
      <c r="E796" s="47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39">
        <f t="shared" si="50"/>
        <v>44469</v>
      </c>
      <c r="D797" s="99" t="s">
        <v>540</v>
      </c>
      <c r="E797" s="47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39">
        <f t="shared" si="50"/>
        <v>44469</v>
      </c>
      <c r="D798" s="99" t="s">
        <v>543</v>
      </c>
      <c r="E798" s="47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39">
        <f t="shared" si="50"/>
        <v>44469</v>
      </c>
      <c r="D799" s="99" t="s">
        <v>545</v>
      </c>
      <c r="E799" s="472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39">
        <f t="shared" si="50"/>
        <v>44469</v>
      </c>
      <c r="D800" s="99" t="s">
        <v>547</v>
      </c>
      <c r="E800" s="47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39">
        <f t="shared" si="50"/>
        <v>44469</v>
      </c>
      <c r="D801" s="99" t="s">
        <v>549</v>
      </c>
      <c r="E801" s="47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39">
        <f t="shared" si="50"/>
        <v>44469</v>
      </c>
      <c r="D802" s="99" t="s">
        <v>553</v>
      </c>
      <c r="E802" s="47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39">
        <f t="shared" si="50"/>
        <v>44469</v>
      </c>
      <c r="D803" s="99" t="s">
        <v>555</v>
      </c>
      <c r="E803" s="47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39">
        <f t="shared" si="50"/>
        <v>44469</v>
      </c>
      <c r="D804" s="99" t="s">
        <v>557</v>
      </c>
      <c r="E804" s="47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39">
        <f t="shared" si="50"/>
        <v>44469</v>
      </c>
      <c r="D805" s="99" t="s">
        <v>558</v>
      </c>
      <c r="E805" s="47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39">
        <f t="shared" si="50"/>
        <v>44469</v>
      </c>
      <c r="D806" s="99" t="s">
        <v>560</v>
      </c>
      <c r="E806" s="47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39">
        <f t="shared" si="50"/>
        <v>44469</v>
      </c>
      <c r="D807" s="99" t="s">
        <v>562</v>
      </c>
      <c r="E807" s="47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39">
        <f t="shared" si="50"/>
        <v>44469</v>
      </c>
      <c r="D808" s="99" t="s">
        <v>563</v>
      </c>
      <c r="E808" s="47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39">
        <f t="shared" si="50"/>
        <v>44469</v>
      </c>
      <c r="D809" s="99" t="s">
        <v>564</v>
      </c>
      <c r="E809" s="47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39">
        <f t="shared" si="50"/>
        <v>44469</v>
      </c>
      <c r="D810" s="99" t="s">
        <v>565</v>
      </c>
      <c r="E810" s="47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39">
        <f t="shared" si="50"/>
        <v>44469</v>
      </c>
      <c r="D811" s="99" t="s">
        <v>566</v>
      </c>
      <c r="E811" s="47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39">
        <f t="shared" si="50"/>
        <v>44469</v>
      </c>
      <c r="D812" s="99" t="s">
        <v>568</v>
      </c>
      <c r="E812" s="47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39">
        <f t="shared" si="50"/>
        <v>44469</v>
      </c>
      <c r="D813" s="99" t="s">
        <v>569</v>
      </c>
      <c r="E813" s="47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39">
        <f t="shared" si="50"/>
        <v>44469</v>
      </c>
      <c r="D814" s="99" t="s">
        <v>571</v>
      </c>
      <c r="E814" s="47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39">
        <f t="shared" si="50"/>
        <v>44469</v>
      </c>
      <c r="D815" s="99" t="s">
        <v>573</v>
      </c>
      <c r="E815" s="47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39">
        <f t="shared" si="50"/>
        <v>44469</v>
      </c>
      <c r="D816" s="99" t="s">
        <v>575</v>
      </c>
      <c r="E816" s="47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39">
        <f t="shared" si="50"/>
        <v>44469</v>
      </c>
      <c r="D817" s="99" t="s">
        <v>576</v>
      </c>
      <c r="E817" s="47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39">
        <f t="shared" si="50"/>
        <v>44469</v>
      </c>
      <c r="D818" s="99" t="s">
        <v>578</v>
      </c>
      <c r="E818" s="47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39">
        <f t="shared" si="50"/>
        <v>44469</v>
      </c>
      <c r="D819" s="99" t="s">
        <v>581</v>
      </c>
      <c r="E819" s="472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39">
        <f t="shared" si="50"/>
        <v>44469</v>
      </c>
      <c r="D820" s="99" t="s">
        <v>583</v>
      </c>
      <c r="E820" s="472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39">
        <f t="shared" si="50"/>
        <v>44469</v>
      </c>
      <c r="D821" s="99" t="s">
        <v>523</v>
      </c>
      <c r="E821" s="47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39">
        <f t="shared" si="50"/>
        <v>44469</v>
      </c>
      <c r="D822" s="99" t="s">
        <v>526</v>
      </c>
      <c r="E822" s="472">
        <v>13</v>
      </c>
      <c r="F822" s="99" t="s">
        <v>525</v>
      </c>
      <c r="H822" s="99">
        <f>'Справка 6'!P12</f>
        <v>9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39">
        <f t="shared" si="50"/>
        <v>44469</v>
      </c>
      <c r="D823" s="99" t="s">
        <v>529</v>
      </c>
      <c r="E823" s="47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39">
        <f t="shared" si="50"/>
        <v>44469</v>
      </c>
      <c r="D824" s="99" t="s">
        <v>532</v>
      </c>
      <c r="E824" s="47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39">
        <f t="shared" si="50"/>
        <v>44469</v>
      </c>
      <c r="D825" s="99" t="s">
        <v>535</v>
      </c>
      <c r="E825" s="47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39">
        <f t="shared" si="50"/>
        <v>44469</v>
      </c>
      <c r="D826" s="99" t="s">
        <v>537</v>
      </c>
      <c r="E826" s="47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39">
        <f t="shared" si="50"/>
        <v>44469</v>
      </c>
      <c r="D827" s="99" t="s">
        <v>540</v>
      </c>
      <c r="E827" s="47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39">
        <f t="shared" si="50"/>
        <v>44469</v>
      </c>
      <c r="D828" s="99" t="s">
        <v>543</v>
      </c>
      <c r="E828" s="47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39">
        <f t="shared" si="50"/>
        <v>44469</v>
      </c>
      <c r="D829" s="99" t="s">
        <v>545</v>
      </c>
      <c r="E829" s="472">
        <v>13</v>
      </c>
      <c r="F829" s="99" t="s">
        <v>804</v>
      </c>
      <c r="H829" s="99">
        <f>'Справка 6'!P19</f>
        <v>9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39">
        <f t="shared" si="50"/>
        <v>44469</v>
      </c>
      <c r="D830" s="99" t="s">
        <v>547</v>
      </c>
      <c r="E830" s="47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39">
        <f t="shared" si="50"/>
        <v>44469</v>
      </c>
      <c r="D831" s="99" t="s">
        <v>549</v>
      </c>
      <c r="E831" s="47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39">
        <f t="shared" si="50"/>
        <v>44469</v>
      </c>
      <c r="D832" s="99" t="s">
        <v>553</v>
      </c>
      <c r="E832" s="47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39">
        <f t="shared" si="50"/>
        <v>44469</v>
      </c>
      <c r="D833" s="99" t="s">
        <v>555</v>
      </c>
      <c r="E833" s="47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39">
        <f t="shared" si="50"/>
        <v>44469</v>
      </c>
      <c r="D834" s="99" t="s">
        <v>557</v>
      </c>
      <c r="E834" s="47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39">
        <f t="shared" si="50"/>
        <v>44469</v>
      </c>
      <c r="D835" s="99" t="s">
        <v>558</v>
      </c>
      <c r="E835" s="47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39">
        <f t="shared" si="50"/>
        <v>44469</v>
      </c>
      <c r="D836" s="99" t="s">
        <v>560</v>
      </c>
      <c r="E836" s="47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39">
        <f t="shared" si="50"/>
        <v>44469</v>
      </c>
      <c r="D837" s="99" t="s">
        <v>562</v>
      </c>
      <c r="E837" s="47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39">
        <f t="shared" si="50"/>
        <v>44469</v>
      </c>
      <c r="D838" s="99" t="s">
        <v>563</v>
      </c>
      <c r="E838" s="47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39">
        <f t="shared" si="50"/>
        <v>44469</v>
      </c>
      <c r="D839" s="99" t="s">
        <v>564</v>
      </c>
      <c r="E839" s="47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39">
        <f t="shared" si="50"/>
        <v>44469</v>
      </c>
      <c r="D840" s="99" t="s">
        <v>565</v>
      </c>
      <c r="E840" s="47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39">
        <f t="shared" si="50"/>
        <v>44469</v>
      </c>
      <c r="D841" s="99" t="s">
        <v>566</v>
      </c>
      <c r="E841" s="47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39">
        <f t="shared" si="50"/>
        <v>44469</v>
      </c>
      <c r="D842" s="99" t="s">
        <v>568</v>
      </c>
      <c r="E842" s="47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39">
        <f t="shared" si="50"/>
        <v>44469</v>
      </c>
      <c r="D843" s="99" t="s">
        <v>569</v>
      </c>
      <c r="E843" s="47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39">
        <f t="shared" si="50"/>
        <v>44469</v>
      </c>
      <c r="D844" s="99" t="s">
        <v>571</v>
      </c>
      <c r="E844" s="47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39">
        <f t="shared" ref="C845:C910" si="53">endDate</f>
        <v>44469</v>
      </c>
      <c r="D845" s="99" t="s">
        <v>573</v>
      </c>
      <c r="E845" s="47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39">
        <f t="shared" si="53"/>
        <v>44469</v>
      </c>
      <c r="D846" s="99" t="s">
        <v>575</v>
      </c>
      <c r="E846" s="47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39">
        <f t="shared" si="53"/>
        <v>44469</v>
      </c>
      <c r="D847" s="99" t="s">
        <v>576</v>
      </c>
      <c r="E847" s="47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39">
        <f t="shared" si="53"/>
        <v>44469</v>
      </c>
      <c r="D848" s="99" t="s">
        <v>578</v>
      </c>
      <c r="E848" s="47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39">
        <f t="shared" si="53"/>
        <v>44469</v>
      </c>
      <c r="D849" s="99" t="s">
        <v>581</v>
      </c>
      <c r="E849" s="47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39">
        <f t="shared" si="53"/>
        <v>44469</v>
      </c>
      <c r="D850" s="99" t="s">
        <v>583</v>
      </c>
      <c r="E850" s="472">
        <v>13</v>
      </c>
      <c r="F850" s="99" t="s">
        <v>582</v>
      </c>
      <c r="H850" s="99">
        <f>'Справка 6'!P42</f>
        <v>9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39">
        <f t="shared" si="53"/>
        <v>44469</v>
      </c>
      <c r="D851" s="99" t="s">
        <v>523</v>
      </c>
      <c r="E851" s="472">
        <v>14</v>
      </c>
      <c r="F851" s="99" t="s">
        <v>522</v>
      </c>
      <c r="H851" s="99">
        <f>'Справка 6'!Q11</f>
        <v>3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39">
        <f t="shared" si="53"/>
        <v>44469</v>
      </c>
      <c r="D852" s="99" t="s">
        <v>526</v>
      </c>
      <c r="E852" s="472">
        <v>14</v>
      </c>
      <c r="F852" s="99" t="s">
        <v>525</v>
      </c>
      <c r="H852" s="99">
        <f>'Справка 6'!Q12</f>
        <v>95202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39">
        <f t="shared" si="53"/>
        <v>44469</v>
      </c>
      <c r="D853" s="99" t="s">
        <v>529</v>
      </c>
      <c r="E853" s="472">
        <v>14</v>
      </c>
      <c r="F853" s="99" t="s">
        <v>528</v>
      </c>
      <c r="H853" s="99">
        <f>'Справка 6'!Q13</f>
        <v>145653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39">
        <f t="shared" si="53"/>
        <v>44469</v>
      </c>
      <c r="D854" s="99" t="s">
        <v>532</v>
      </c>
      <c r="E854" s="472">
        <v>14</v>
      </c>
      <c r="F854" s="99" t="s">
        <v>531</v>
      </c>
      <c r="H854" s="99">
        <f>'Справка 6'!Q14</f>
        <v>10346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39">
        <f t="shared" si="53"/>
        <v>44469</v>
      </c>
      <c r="D855" s="99" t="s">
        <v>535</v>
      </c>
      <c r="E855" s="472">
        <v>14</v>
      </c>
      <c r="F855" s="99" t="s">
        <v>534</v>
      </c>
      <c r="H855" s="99">
        <f>'Справка 6'!Q15</f>
        <v>13430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39">
        <f t="shared" si="53"/>
        <v>44469</v>
      </c>
      <c r="D856" s="99" t="s">
        <v>537</v>
      </c>
      <c r="E856" s="472">
        <v>14</v>
      </c>
      <c r="F856" s="99" t="s">
        <v>536</v>
      </c>
      <c r="H856" s="99">
        <f>'Справка 6'!Q16</f>
        <v>18739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39">
        <f t="shared" si="53"/>
        <v>44469</v>
      </c>
      <c r="D857" s="99" t="s">
        <v>540</v>
      </c>
      <c r="E857" s="472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39">
        <f t="shared" si="53"/>
        <v>44469</v>
      </c>
      <c r="D858" s="99" t="s">
        <v>543</v>
      </c>
      <c r="E858" s="472">
        <v>14</v>
      </c>
      <c r="F858" s="99" t="s">
        <v>542</v>
      </c>
      <c r="H858" s="99">
        <f>'Справка 6'!Q18</f>
        <v>202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39">
        <f t="shared" si="53"/>
        <v>44469</v>
      </c>
      <c r="D859" s="99" t="s">
        <v>545</v>
      </c>
      <c r="E859" s="472">
        <v>14</v>
      </c>
      <c r="F859" s="99" t="s">
        <v>804</v>
      </c>
      <c r="H859" s="99">
        <f>'Справка 6'!Q19</f>
        <v>283575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39">
        <f t="shared" si="53"/>
        <v>44469</v>
      </c>
      <c r="D860" s="99" t="s">
        <v>547</v>
      </c>
      <c r="E860" s="47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39">
        <f t="shared" si="53"/>
        <v>44469</v>
      </c>
      <c r="D861" s="99" t="s">
        <v>549</v>
      </c>
      <c r="E861" s="472">
        <v>14</v>
      </c>
      <c r="F861" s="99" t="s">
        <v>548</v>
      </c>
      <c r="H861" s="99">
        <f>'Справка 6'!Q21</f>
        <v>50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39">
        <f t="shared" si="53"/>
        <v>44469</v>
      </c>
      <c r="D862" s="99" t="s">
        <v>553</v>
      </c>
      <c r="E862" s="472">
        <v>14</v>
      </c>
      <c r="F862" s="99" t="s">
        <v>552</v>
      </c>
      <c r="H862" s="99">
        <f>'Справка 6'!Q23</f>
        <v>46713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39">
        <f t="shared" si="53"/>
        <v>44469</v>
      </c>
      <c r="D863" s="99" t="s">
        <v>555</v>
      </c>
      <c r="E863" s="472">
        <v>14</v>
      </c>
      <c r="F863" s="99" t="s">
        <v>554</v>
      </c>
      <c r="H863" s="99">
        <f>'Справка 6'!Q24</f>
        <v>15175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39">
        <f t="shared" si="53"/>
        <v>44469</v>
      </c>
      <c r="D864" s="99" t="s">
        <v>557</v>
      </c>
      <c r="E864" s="47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39">
        <f t="shared" si="53"/>
        <v>44469</v>
      </c>
      <c r="D865" s="99" t="s">
        <v>558</v>
      </c>
      <c r="E865" s="472">
        <v>14</v>
      </c>
      <c r="F865" s="99" t="s">
        <v>542</v>
      </c>
      <c r="H865" s="99">
        <f>'Справка 6'!Q26</f>
        <v>2362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39">
        <f t="shared" si="53"/>
        <v>44469</v>
      </c>
      <c r="D866" s="99" t="s">
        <v>560</v>
      </c>
      <c r="E866" s="472">
        <v>14</v>
      </c>
      <c r="F866" s="99" t="s">
        <v>838</v>
      </c>
      <c r="H866" s="99">
        <f>'Справка 6'!Q27</f>
        <v>64250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39">
        <f t="shared" si="53"/>
        <v>44469</v>
      </c>
      <c r="D867" s="99" t="s">
        <v>562</v>
      </c>
      <c r="E867" s="47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39">
        <f t="shared" si="53"/>
        <v>44469</v>
      </c>
      <c r="D868" s="99" t="s">
        <v>563</v>
      </c>
      <c r="E868" s="47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39">
        <f t="shared" si="53"/>
        <v>44469</v>
      </c>
      <c r="D869" s="99" t="s">
        <v>564</v>
      </c>
      <c r="E869" s="47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39">
        <f t="shared" si="53"/>
        <v>44469</v>
      </c>
      <c r="D870" s="99" t="s">
        <v>565</v>
      </c>
      <c r="E870" s="47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39">
        <f t="shared" si="53"/>
        <v>44469</v>
      </c>
      <c r="D871" s="99" t="s">
        <v>566</v>
      </c>
      <c r="E871" s="47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39">
        <f t="shared" si="53"/>
        <v>44469</v>
      </c>
      <c r="D872" s="99" t="s">
        <v>568</v>
      </c>
      <c r="E872" s="47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39">
        <f t="shared" si="53"/>
        <v>44469</v>
      </c>
      <c r="D873" s="99" t="s">
        <v>569</v>
      </c>
      <c r="E873" s="47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39">
        <f t="shared" si="53"/>
        <v>44469</v>
      </c>
      <c r="D874" s="99" t="s">
        <v>571</v>
      </c>
      <c r="E874" s="47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39">
        <f t="shared" si="53"/>
        <v>44469</v>
      </c>
      <c r="D875" s="99" t="s">
        <v>573</v>
      </c>
      <c r="E875" s="47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39">
        <f t="shared" si="53"/>
        <v>44469</v>
      </c>
      <c r="D876" s="99" t="s">
        <v>575</v>
      </c>
      <c r="E876" s="47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39">
        <f t="shared" si="53"/>
        <v>44469</v>
      </c>
      <c r="D877" s="99" t="s">
        <v>576</v>
      </c>
      <c r="E877" s="47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39">
        <f t="shared" si="53"/>
        <v>44469</v>
      </c>
      <c r="D878" s="99" t="s">
        <v>578</v>
      </c>
      <c r="E878" s="47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39">
        <f t="shared" si="53"/>
        <v>44469</v>
      </c>
      <c r="D879" s="99" t="s">
        <v>581</v>
      </c>
      <c r="E879" s="472">
        <v>14</v>
      </c>
      <c r="F879" s="99" t="s">
        <v>580</v>
      </c>
      <c r="H879" s="99">
        <f>'Справка 6'!Q41</f>
        <v>17888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39">
        <f t="shared" si="53"/>
        <v>44469</v>
      </c>
      <c r="D880" s="99" t="s">
        <v>583</v>
      </c>
      <c r="E880" s="472">
        <v>14</v>
      </c>
      <c r="F880" s="99" t="s">
        <v>582</v>
      </c>
      <c r="H880" s="99">
        <f>'Справка 6'!Q42</f>
        <v>365763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39">
        <f t="shared" si="53"/>
        <v>44469</v>
      </c>
      <c r="D881" s="99" t="s">
        <v>523</v>
      </c>
      <c r="E881" s="472">
        <v>15</v>
      </c>
      <c r="F881" s="99" t="s">
        <v>522</v>
      </c>
      <c r="H881" s="99">
        <f>'Справка 6'!R11</f>
        <v>59042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39">
        <f t="shared" si="53"/>
        <v>44469</v>
      </c>
      <c r="D882" s="99" t="s">
        <v>526</v>
      </c>
      <c r="E882" s="472">
        <v>15</v>
      </c>
      <c r="F882" s="99" t="s">
        <v>525</v>
      </c>
      <c r="H882" s="99">
        <f>'Справка 6'!R12</f>
        <v>179149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39">
        <f t="shared" si="53"/>
        <v>44469</v>
      </c>
      <c r="D883" s="99" t="s">
        <v>529</v>
      </c>
      <c r="E883" s="472">
        <v>15</v>
      </c>
      <c r="F883" s="99" t="s">
        <v>528</v>
      </c>
      <c r="H883" s="99">
        <f>'Справка 6'!R13</f>
        <v>97701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39">
        <f t="shared" si="53"/>
        <v>44469</v>
      </c>
      <c r="D884" s="99" t="s">
        <v>532</v>
      </c>
      <c r="E884" s="472">
        <v>15</v>
      </c>
      <c r="F884" s="99" t="s">
        <v>531</v>
      </c>
      <c r="H884" s="99">
        <f>'Справка 6'!R14</f>
        <v>12845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39">
        <f t="shared" si="53"/>
        <v>44469</v>
      </c>
      <c r="D885" s="99" t="s">
        <v>535</v>
      </c>
      <c r="E885" s="472">
        <v>15</v>
      </c>
      <c r="F885" s="99" t="s">
        <v>534</v>
      </c>
      <c r="H885" s="99">
        <f>'Справка 6'!R15</f>
        <v>10662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39">
        <f t="shared" si="53"/>
        <v>44469</v>
      </c>
      <c r="D886" s="99" t="s">
        <v>537</v>
      </c>
      <c r="E886" s="472">
        <v>15</v>
      </c>
      <c r="F886" s="99" t="s">
        <v>536</v>
      </c>
      <c r="H886" s="99">
        <f>'Справка 6'!R16</f>
        <v>10546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39">
        <f t="shared" si="53"/>
        <v>44469</v>
      </c>
      <c r="D887" s="99" t="s">
        <v>540</v>
      </c>
      <c r="E887" s="472">
        <v>15</v>
      </c>
      <c r="F887" s="99" t="s">
        <v>539</v>
      </c>
      <c r="H887" s="99">
        <f>'Справка 6'!R17</f>
        <v>7061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39">
        <f t="shared" si="53"/>
        <v>44469</v>
      </c>
      <c r="D888" s="99" t="s">
        <v>543</v>
      </c>
      <c r="E888" s="472">
        <v>15</v>
      </c>
      <c r="F888" s="99" t="s">
        <v>542</v>
      </c>
      <c r="H888" s="99">
        <f>'Справка 6'!R18</f>
        <v>243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39">
        <f t="shared" si="53"/>
        <v>44469</v>
      </c>
      <c r="D889" s="99" t="s">
        <v>545</v>
      </c>
      <c r="E889" s="472">
        <v>15</v>
      </c>
      <c r="F889" s="99" t="s">
        <v>804</v>
      </c>
      <c r="H889" s="99">
        <f>'Справка 6'!R19</f>
        <v>377249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39">
        <f t="shared" si="53"/>
        <v>44469</v>
      </c>
      <c r="D890" s="99" t="s">
        <v>547</v>
      </c>
      <c r="E890" s="472">
        <v>15</v>
      </c>
      <c r="F890" s="99" t="s">
        <v>546</v>
      </c>
      <c r="H890" s="99">
        <f>'Справка 6'!R20</f>
        <v>10132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39">
        <f t="shared" si="53"/>
        <v>44469</v>
      </c>
      <c r="D891" s="99" t="s">
        <v>549</v>
      </c>
      <c r="E891" s="472">
        <v>15</v>
      </c>
      <c r="F891" s="99" t="s">
        <v>548</v>
      </c>
      <c r="H891" s="99">
        <f>'Справка 6'!R21</f>
        <v>294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39">
        <f t="shared" si="53"/>
        <v>44469</v>
      </c>
      <c r="D892" s="99" t="s">
        <v>553</v>
      </c>
      <c r="E892" s="472">
        <v>15</v>
      </c>
      <c r="F892" s="99" t="s">
        <v>552</v>
      </c>
      <c r="H892" s="99">
        <f>'Справка 6'!R23</f>
        <v>33038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39">
        <f t="shared" si="53"/>
        <v>44469</v>
      </c>
      <c r="D893" s="99" t="s">
        <v>555</v>
      </c>
      <c r="E893" s="472">
        <v>15</v>
      </c>
      <c r="F893" s="99" t="s">
        <v>554</v>
      </c>
      <c r="H893" s="99">
        <f>'Справка 6'!R24</f>
        <v>13280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39">
        <f t="shared" si="53"/>
        <v>44469</v>
      </c>
      <c r="D894" s="99" t="s">
        <v>557</v>
      </c>
      <c r="E894" s="47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39">
        <f t="shared" si="53"/>
        <v>44469</v>
      </c>
      <c r="D895" s="99" t="s">
        <v>558</v>
      </c>
      <c r="E895" s="472">
        <v>15</v>
      </c>
      <c r="F895" s="99" t="s">
        <v>542</v>
      </c>
      <c r="H895" s="99">
        <f>'Справка 6'!R26</f>
        <v>8505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39">
        <f t="shared" si="53"/>
        <v>44469</v>
      </c>
      <c r="D896" s="99" t="s">
        <v>560</v>
      </c>
      <c r="E896" s="472">
        <v>15</v>
      </c>
      <c r="F896" s="99" t="s">
        <v>838</v>
      </c>
      <c r="H896" s="99">
        <f>'Справка 6'!R27</f>
        <v>54823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39">
        <f t="shared" si="53"/>
        <v>44469</v>
      </c>
      <c r="D897" s="99" t="s">
        <v>562</v>
      </c>
      <c r="E897" s="472">
        <v>15</v>
      </c>
      <c r="F897" s="99" t="s">
        <v>561</v>
      </c>
      <c r="H897" s="99">
        <f>'Справка 6'!R29</f>
        <v>92130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39">
        <f t="shared" si="53"/>
        <v>44469</v>
      </c>
      <c r="D898" s="99" t="s">
        <v>563</v>
      </c>
      <c r="E898" s="47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39">
        <f t="shared" si="53"/>
        <v>44469</v>
      </c>
      <c r="D899" s="99" t="s">
        <v>564</v>
      </c>
      <c r="E899" s="472">
        <v>15</v>
      </c>
      <c r="F899" s="99" t="s">
        <v>110</v>
      </c>
      <c r="H899" s="99">
        <f>'Справка 6'!R31</f>
        <v>2074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39">
        <f t="shared" si="53"/>
        <v>44469</v>
      </c>
      <c r="D900" s="99" t="s">
        <v>565</v>
      </c>
      <c r="E900" s="472">
        <v>15</v>
      </c>
      <c r="F900" s="99" t="s">
        <v>113</v>
      </c>
      <c r="H900" s="99">
        <f>'Справка 6'!R32</f>
        <v>75311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39">
        <f t="shared" si="53"/>
        <v>44469</v>
      </c>
      <c r="D901" s="99" t="s">
        <v>566</v>
      </c>
      <c r="E901" s="472">
        <v>15</v>
      </c>
      <c r="F901" s="99" t="s">
        <v>115</v>
      </c>
      <c r="H901" s="99">
        <f>'Справка 6'!R33</f>
        <v>14745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39">
        <f t="shared" si="53"/>
        <v>44469</v>
      </c>
      <c r="D902" s="99" t="s">
        <v>568</v>
      </c>
      <c r="E902" s="47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39">
        <f t="shared" si="53"/>
        <v>44469</v>
      </c>
      <c r="D903" s="99" t="s">
        <v>569</v>
      </c>
      <c r="E903" s="47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39">
        <f t="shared" si="53"/>
        <v>44469</v>
      </c>
      <c r="D904" s="99" t="s">
        <v>571</v>
      </c>
      <c r="E904" s="47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39">
        <f t="shared" si="53"/>
        <v>44469</v>
      </c>
      <c r="D905" s="99" t="s">
        <v>573</v>
      </c>
      <c r="E905" s="47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39">
        <f t="shared" si="53"/>
        <v>44469</v>
      </c>
      <c r="D906" s="99" t="s">
        <v>575</v>
      </c>
      <c r="E906" s="47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39">
        <f t="shared" si="53"/>
        <v>44469</v>
      </c>
      <c r="D907" s="99" t="s">
        <v>576</v>
      </c>
      <c r="E907" s="47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39">
        <f t="shared" si="53"/>
        <v>44469</v>
      </c>
      <c r="D908" s="99" t="s">
        <v>578</v>
      </c>
      <c r="E908" s="472">
        <v>15</v>
      </c>
      <c r="F908" s="99" t="s">
        <v>803</v>
      </c>
      <c r="H908" s="99">
        <f>'Справка 6'!R40</f>
        <v>92130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39">
        <f t="shared" si="53"/>
        <v>44469</v>
      </c>
      <c r="D909" s="99" t="s">
        <v>581</v>
      </c>
      <c r="E909" s="472">
        <v>15</v>
      </c>
      <c r="F909" s="99" t="s">
        <v>580</v>
      </c>
      <c r="H909" s="99">
        <f>'Справка 6'!R41</f>
        <v>13417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39">
        <f t="shared" si="53"/>
        <v>44469</v>
      </c>
      <c r="D910" s="99" t="s">
        <v>583</v>
      </c>
      <c r="E910" s="472">
        <v>15</v>
      </c>
      <c r="F910" s="99" t="s">
        <v>582</v>
      </c>
      <c r="H910" s="99">
        <f>'Справка 6'!R42</f>
        <v>548045</v>
      </c>
    </row>
    <row r="911" spans="1:8" s="473" customFormat="1">
      <c r="C911" s="538"/>
      <c r="F911" s="477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39">
        <f t="shared" ref="C912:C975" si="56">endDate</f>
        <v>44469</v>
      </c>
      <c r="D912" s="99" t="s">
        <v>592</v>
      </c>
      <c r="E912" s="472">
        <v>1</v>
      </c>
      <c r="F912" s="99" t="s">
        <v>591</v>
      </c>
      <c r="G912" s="99" t="s">
        <v>840</v>
      </c>
      <c r="H912" s="474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39">
        <f t="shared" si="56"/>
        <v>44469</v>
      </c>
      <c r="D913" s="99" t="s">
        <v>595</v>
      </c>
      <c r="E913" s="472">
        <v>1</v>
      </c>
      <c r="F913" s="99" t="s">
        <v>594</v>
      </c>
      <c r="G913" s="99" t="s">
        <v>840</v>
      </c>
      <c r="H913" s="474">
        <f>'Справка 7'!C13</f>
        <v>51277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39">
        <f t="shared" si="56"/>
        <v>44469</v>
      </c>
      <c r="D914" s="99" t="s">
        <v>597</v>
      </c>
      <c r="E914" s="472">
        <v>1</v>
      </c>
      <c r="F914" s="99" t="s">
        <v>596</v>
      </c>
      <c r="G914" s="99" t="s">
        <v>840</v>
      </c>
      <c r="H914" s="474">
        <f>'Справка 7'!C14</f>
        <v>51276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39">
        <f t="shared" si="56"/>
        <v>44469</v>
      </c>
      <c r="D915" s="99" t="s">
        <v>599</v>
      </c>
      <c r="E915" s="472">
        <v>1</v>
      </c>
      <c r="F915" s="99" t="s">
        <v>598</v>
      </c>
      <c r="G915" s="99" t="s">
        <v>840</v>
      </c>
      <c r="H915" s="474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39">
        <f t="shared" si="56"/>
        <v>44469</v>
      </c>
      <c r="D916" s="99" t="s">
        <v>601</v>
      </c>
      <c r="E916" s="472">
        <v>1</v>
      </c>
      <c r="F916" s="99" t="s">
        <v>600</v>
      </c>
      <c r="G916" s="99" t="s">
        <v>840</v>
      </c>
      <c r="H916" s="474">
        <f>'Справка 7'!C16</f>
        <v>1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39">
        <f t="shared" si="56"/>
        <v>44469</v>
      </c>
      <c r="D917" s="99" t="s">
        <v>603</v>
      </c>
      <c r="E917" s="472">
        <v>1</v>
      </c>
      <c r="F917" s="99" t="s">
        <v>602</v>
      </c>
      <c r="G917" s="99" t="s">
        <v>840</v>
      </c>
      <c r="H917" s="474">
        <f>'Справка 7'!C17</f>
        <v>7770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39">
        <f t="shared" si="56"/>
        <v>44469</v>
      </c>
      <c r="D918" s="99" t="s">
        <v>605</v>
      </c>
      <c r="E918" s="472">
        <v>1</v>
      </c>
      <c r="F918" s="99" t="s">
        <v>604</v>
      </c>
      <c r="G918" s="99" t="s">
        <v>840</v>
      </c>
      <c r="H918" s="474">
        <f>'Справка 7'!C18</f>
        <v>4045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39">
        <f t="shared" si="56"/>
        <v>44469</v>
      </c>
      <c r="D919" s="99" t="s">
        <v>607</v>
      </c>
      <c r="E919" s="472">
        <v>1</v>
      </c>
      <c r="F919" s="99" t="s">
        <v>606</v>
      </c>
      <c r="G919" s="99" t="s">
        <v>840</v>
      </c>
      <c r="H919" s="474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39">
        <f t="shared" si="56"/>
        <v>44469</v>
      </c>
      <c r="D920" s="99" t="s">
        <v>608</v>
      </c>
      <c r="E920" s="472">
        <v>1</v>
      </c>
      <c r="F920" s="99" t="s">
        <v>600</v>
      </c>
      <c r="G920" s="99" t="s">
        <v>840</v>
      </c>
      <c r="H920" s="474">
        <f>'Справка 7'!C20</f>
        <v>4045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39">
        <f t="shared" si="56"/>
        <v>44469</v>
      </c>
      <c r="D921" s="99" t="s">
        <v>610</v>
      </c>
      <c r="E921" s="472">
        <v>1</v>
      </c>
      <c r="F921" s="99" t="s">
        <v>593</v>
      </c>
      <c r="G921" s="99" t="s">
        <v>840</v>
      </c>
      <c r="H921" s="474">
        <f>'Справка 7'!C21</f>
        <v>63092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39">
        <f t="shared" si="56"/>
        <v>44469</v>
      </c>
      <c r="D922" s="99" t="s">
        <v>613</v>
      </c>
      <c r="E922" s="472">
        <v>1</v>
      </c>
      <c r="F922" s="99" t="s">
        <v>841</v>
      </c>
      <c r="G922" s="99" t="s">
        <v>840</v>
      </c>
      <c r="H922" s="474">
        <f>'Справка 7'!C23</f>
        <v>182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39">
        <f t="shared" si="56"/>
        <v>44469</v>
      </c>
      <c r="D923" s="99" t="s">
        <v>616</v>
      </c>
      <c r="E923" s="472">
        <v>1</v>
      </c>
      <c r="F923" s="99" t="s">
        <v>615</v>
      </c>
      <c r="G923" s="99" t="s">
        <v>840</v>
      </c>
      <c r="H923" s="474">
        <f>'Справка 7'!C26</f>
        <v>9274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39">
        <f t="shared" si="56"/>
        <v>44469</v>
      </c>
      <c r="D924" s="99" t="s">
        <v>618</v>
      </c>
      <c r="E924" s="472">
        <v>1</v>
      </c>
      <c r="F924" s="99" t="s">
        <v>617</v>
      </c>
      <c r="G924" s="99" t="s">
        <v>840</v>
      </c>
      <c r="H924" s="474">
        <f>'Справка 7'!C27</f>
        <v>8703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39">
        <f t="shared" si="56"/>
        <v>44469</v>
      </c>
      <c r="D925" s="99" t="s">
        <v>620</v>
      </c>
      <c r="E925" s="472">
        <v>1</v>
      </c>
      <c r="F925" s="99" t="s">
        <v>619</v>
      </c>
      <c r="G925" s="99" t="s">
        <v>840</v>
      </c>
      <c r="H925" s="474">
        <f>'Справка 7'!C28</f>
        <v>557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39">
        <f t="shared" si="56"/>
        <v>44469</v>
      </c>
      <c r="D926" s="99" t="s">
        <v>622</v>
      </c>
      <c r="E926" s="472">
        <v>1</v>
      </c>
      <c r="F926" s="99" t="s">
        <v>621</v>
      </c>
      <c r="G926" s="99" t="s">
        <v>840</v>
      </c>
      <c r="H926" s="474">
        <f>'Справка 7'!C29</f>
        <v>14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39">
        <f t="shared" si="56"/>
        <v>44469</v>
      </c>
      <c r="D927" s="99" t="s">
        <v>624</v>
      </c>
      <c r="E927" s="472">
        <v>1</v>
      </c>
      <c r="F927" s="99" t="s">
        <v>623</v>
      </c>
      <c r="G927" s="99" t="s">
        <v>840</v>
      </c>
      <c r="H927" s="474">
        <f>'Справка 7'!C30</f>
        <v>246920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39">
        <f t="shared" si="56"/>
        <v>44469</v>
      </c>
      <c r="D928" s="99" t="s">
        <v>626</v>
      </c>
      <c r="E928" s="472">
        <v>1</v>
      </c>
      <c r="F928" s="99" t="s">
        <v>625</v>
      </c>
      <c r="G928" s="99" t="s">
        <v>840</v>
      </c>
      <c r="H928" s="474">
        <f>'Справка 7'!C31</f>
        <v>26390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39">
        <f t="shared" si="56"/>
        <v>44469</v>
      </c>
      <c r="D929" s="99" t="s">
        <v>628</v>
      </c>
      <c r="E929" s="472">
        <v>1</v>
      </c>
      <c r="F929" s="99" t="s">
        <v>627</v>
      </c>
      <c r="G929" s="99" t="s">
        <v>840</v>
      </c>
      <c r="H929" s="474">
        <f>'Справка 7'!C32</f>
        <v>1507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39">
        <f t="shared" si="56"/>
        <v>44469</v>
      </c>
      <c r="D930" s="99" t="s">
        <v>630</v>
      </c>
      <c r="E930" s="472">
        <v>1</v>
      </c>
      <c r="F930" s="99" t="s">
        <v>629</v>
      </c>
      <c r="G930" s="99" t="s">
        <v>840</v>
      </c>
      <c r="H930" s="474">
        <f>'Справка 7'!C33</f>
        <v>15432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39">
        <f t="shared" si="56"/>
        <v>44469</v>
      </c>
      <c r="D931" s="99" t="s">
        <v>632</v>
      </c>
      <c r="E931" s="472">
        <v>1</v>
      </c>
      <c r="F931" s="99" t="s">
        <v>631</v>
      </c>
      <c r="G931" s="99" t="s">
        <v>840</v>
      </c>
      <c r="H931" s="474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39">
        <f t="shared" si="56"/>
        <v>44469</v>
      </c>
      <c r="D932" s="99" t="s">
        <v>634</v>
      </c>
      <c r="E932" s="472">
        <v>1</v>
      </c>
      <c r="F932" s="99" t="s">
        <v>633</v>
      </c>
      <c r="G932" s="99" t="s">
        <v>840</v>
      </c>
      <c r="H932" s="474">
        <f>'Справка 7'!C35</f>
        <v>16448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39">
        <f t="shared" si="56"/>
        <v>44469</v>
      </c>
      <c r="D933" s="99" t="s">
        <v>636</v>
      </c>
      <c r="E933" s="472">
        <v>1</v>
      </c>
      <c r="F933" s="99" t="s">
        <v>842</v>
      </c>
      <c r="G933" s="99" t="s">
        <v>840</v>
      </c>
      <c r="H933" s="474">
        <f>'Справка 7'!C36</f>
        <v>1247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39">
        <f t="shared" si="56"/>
        <v>44469</v>
      </c>
      <c r="D934" s="99" t="s">
        <v>638</v>
      </c>
      <c r="E934" s="472">
        <v>1</v>
      </c>
      <c r="F934" s="99" t="s">
        <v>843</v>
      </c>
      <c r="G934" s="99" t="s">
        <v>840</v>
      </c>
      <c r="H934" s="474">
        <f>'Справка 7'!C37</f>
        <v>9780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39">
        <f t="shared" si="56"/>
        <v>44469</v>
      </c>
      <c r="D935" s="99" t="s">
        <v>640</v>
      </c>
      <c r="E935" s="472">
        <v>1</v>
      </c>
      <c r="F935" s="99" t="s">
        <v>844</v>
      </c>
      <c r="G935" s="99" t="s">
        <v>840</v>
      </c>
      <c r="H935" s="474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39">
        <f t="shared" si="56"/>
        <v>44469</v>
      </c>
      <c r="D936" s="99" t="s">
        <v>642</v>
      </c>
      <c r="E936" s="472">
        <v>1</v>
      </c>
      <c r="F936" s="99" t="s">
        <v>845</v>
      </c>
      <c r="G936" s="99" t="s">
        <v>840</v>
      </c>
      <c r="H936" s="474">
        <f>'Справка 7'!C39</f>
        <v>5421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39">
        <f t="shared" si="56"/>
        <v>44469</v>
      </c>
      <c r="D937" s="99" t="s">
        <v>644</v>
      </c>
      <c r="E937" s="472">
        <v>1</v>
      </c>
      <c r="F937" s="99" t="s">
        <v>643</v>
      </c>
      <c r="G937" s="99" t="s">
        <v>840</v>
      </c>
      <c r="H937" s="474">
        <f>'Справка 7'!C40</f>
        <v>4870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39">
        <f t="shared" si="56"/>
        <v>44469</v>
      </c>
      <c r="D938" s="99" t="s">
        <v>646</v>
      </c>
      <c r="E938" s="472">
        <v>1</v>
      </c>
      <c r="F938" s="99" t="s">
        <v>846</v>
      </c>
      <c r="G938" s="99" t="s">
        <v>840</v>
      </c>
      <c r="H938" s="474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39">
        <f t="shared" si="56"/>
        <v>44469</v>
      </c>
      <c r="D939" s="99" t="s">
        <v>648</v>
      </c>
      <c r="E939" s="472">
        <v>1</v>
      </c>
      <c r="F939" s="99" t="s">
        <v>847</v>
      </c>
      <c r="G939" s="99" t="s">
        <v>840</v>
      </c>
      <c r="H939" s="474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39">
        <f t="shared" si="56"/>
        <v>44469</v>
      </c>
      <c r="D940" s="99" t="s">
        <v>650</v>
      </c>
      <c r="E940" s="472">
        <v>1</v>
      </c>
      <c r="F940" s="99" t="s">
        <v>848</v>
      </c>
      <c r="G940" s="99" t="s">
        <v>840</v>
      </c>
      <c r="H940" s="474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39">
        <f t="shared" si="56"/>
        <v>44469</v>
      </c>
      <c r="D941" s="99" t="s">
        <v>652</v>
      </c>
      <c r="E941" s="472">
        <v>1</v>
      </c>
      <c r="F941" s="99" t="s">
        <v>621</v>
      </c>
      <c r="G941" s="99" t="s">
        <v>840</v>
      </c>
      <c r="H941" s="474">
        <f>'Справка 7'!C44</f>
        <v>4870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39">
        <f t="shared" si="56"/>
        <v>44469</v>
      </c>
      <c r="D942" s="99" t="s">
        <v>654</v>
      </c>
      <c r="E942" s="472">
        <v>1</v>
      </c>
      <c r="F942" s="99" t="s">
        <v>614</v>
      </c>
      <c r="G942" s="99" t="s">
        <v>840</v>
      </c>
      <c r="H942" s="474">
        <f>'Справка 7'!C45</f>
        <v>320841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39">
        <f t="shared" si="56"/>
        <v>44469</v>
      </c>
      <c r="D943" s="99" t="s">
        <v>656</v>
      </c>
      <c r="E943" s="472">
        <v>1</v>
      </c>
      <c r="F943" s="99" t="s">
        <v>655</v>
      </c>
      <c r="G943" s="99" t="s">
        <v>840</v>
      </c>
      <c r="H943" s="474">
        <f>'Справка 7'!C46</f>
        <v>384115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39">
        <f t="shared" si="56"/>
        <v>44469</v>
      </c>
      <c r="D944" s="99" t="s">
        <v>592</v>
      </c>
      <c r="E944" s="472">
        <v>2</v>
      </c>
      <c r="F944" s="99" t="s">
        <v>591</v>
      </c>
      <c r="G944" s="99" t="s">
        <v>840</v>
      </c>
      <c r="H944" s="474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39">
        <f t="shared" si="56"/>
        <v>44469</v>
      </c>
      <c r="D945" s="99" t="s">
        <v>595</v>
      </c>
      <c r="E945" s="472">
        <v>2</v>
      </c>
      <c r="F945" s="99" t="s">
        <v>594</v>
      </c>
      <c r="G945" s="99" t="s">
        <v>840</v>
      </c>
      <c r="H945" s="474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39">
        <f t="shared" si="56"/>
        <v>44469</v>
      </c>
      <c r="D946" s="99" t="s">
        <v>597</v>
      </c>
      <c r="E946" s="472">
        <v>2</v>
      </c>
      <c r="F946" s="99" t="s">
        <v>596</v>
      </c>
      <c r="G946" s="99" t="s">
        <v>840</v>
      </c>
      <c r="H946" s="474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39">
        <f t="shared" si="56"/>
        <v>44469</v>
      </c>
      <c r="D947" s="99" t="s">
        <v>599</v>
      </c>
      <c r="E947" s="472">
        <v>2</v>
      </c>
      <c r="F947" s="99" t="s">
        <v>598</v>
      </c>
      <c r="G947" s="99" t="s">
        <v>840</v>
      </c>
      <c r="H947" s="474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39">
        <f t="shared" si="56"/>
        <v>44469</v>
      </c>
      <c r="D948" s="99" t="s">
        <v>601</v>
      </c>
      <c r="E948" s="472">
        <v>2</v>
      </c>
      <c r="F948" s="99" t="s">
        <v>600</v>
      </c>
      <c r="G948" s="99" t="s">
        <v>840</v>
      </c>
      <c r="H948" s="474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39">
        <f t="shared" si="56"/>
        <v>44469</v>
      </c>
      <c r="D949" s="99" t="s">
        <v>603</v>
      </c>
      <c r="E949" s="472">
        <v>2</v>
      </c>
      <c r="F949" s="99" t="s">
        <v>602</v>
      </c>
      <c r="G949" s="99" t="s">
        <v>840</v>
      </c>
      <c r="H949" s="474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39">
        <f t="shared" si="56"/>
        <v>44469</v>
      </c>
      <c r="D950" s="99" t="s">
        <v>605</v>
      </c>
      <c r="E950" s="472">
        <v>2</v>
      </c>
      <c r="F950" s="99" t="s">
        <v>604</v>
      </c>
      <c r="G950" s="99" t="s">
        <v>840</v>
      </c>
      <c r="H950" s="474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39">
        <f t="shared" si="56"/>
        <v>44469</v>
      </c>
      <c r="D951" s="99" t="s">
        <v>607</v>
      </c>
      <c r="E951" s="472">
        <v>2</v>
      </c>
      <c r="F951" s="99" t="s">
        <v>606</v>
      </c>
      <c r="G951" s="99" t="s">
        <v>840</v>
      </c>
      <c r="H951" s="474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39">
        <f t="shared" si="56"/>
        <v>44469</v>
      </c>
      <c r="D952" s="99" t="s">
        <v>608</v>
      </c>
      <c r="E952" s="472">
        <v>2</v>
      </c>
      <c r="F952" s="99" t="s">
        <v>600</v>
      </c>
      <c r="G952" s="99" t="s">
        <v>840</v>
      </c>
      <c r="H952" s="474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39">
        <f t="shared" si="56"/>
        <v>44469</v>
      </c>
      <c r="D953" s="99" t="s">
        <v>610</v>
      </c>
      <c r="E953" s="472">
        <v>2</v>
      </c>
      <c r="F953" s="99" t="s">
        <v>593</v>
      </c>
      <c r="G953" s="99" t="s">
        <v>840</v>
      </c>
      <c r="H953" s="474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39">
        <f t="shared" si="56"/>
        <v>44469</v>
      </c>
      <c r="D954" s="99" t="s">
        <v>613</v>
      </c>
      <c r="E954" s="472">
        <v>2</v>
      </c>
      <c r="F954" s="99" t="s">
        <v>841</v>
      </c>
      <c r="G954" s="99" t="s">
        <v>840</v>
      </c>
      <c r="H954" s="474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39">
        <f t="shared" si="56"/>
        <v>44469</v>
      </c>
      <c r="D955" s="99" t="s">
        <v>616</v>
      </c>
      <c r="E955" s="472">
        <v>2</v>
      </c>
      <c r="F955" s="99" t="s">
        <v>615</v>
      </c>
      <c r="G955" s="99" t="s">
        <v>840</v>
      </c>
      <c r="H955" s="474">
        <f>'Справка 7'!D26</f>
        <v>9274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39">
        <f t="shared" si="56"/>
        <v>44469</v>
      </c>
      <c r="D956" s="99" t="s">
        <v>618</v>
      </c>
      <c r="E956" s="472">
        <v>2</v>
      </c>
      <c r="F956" s="99" t="s">
        <v>617</v>
      </c>
      <c r="G956" s="99" t="s">
        <v>840</v>
      </c>
      <c r="H956" s="474">
        <f>'Справка 7'!D27</f>
        <v>8703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39">
        <f t="shared" si="56"/>
        <v>44469</v>
      </c>
      <c r="D957" s="99" t="s">
        <v>620</v>
      </c>
      <c r="E957" s="472">
        <v>2</v>
      </c>
      <c r="F957" s="99" t="s">
        <v>619</v>
      </c>
      <c r="G957" s="99" t="s">
        <v>840</v>
      </c>
      <c r="H957" s="474">
        <f>'Справка 7'!D28</f>
        <v>557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39">
        <f t="shared" si="56"/>
        <v>44469</v>
      </c>
      <c r="D958" s="99" t="s">
        <v>622</v>
      </c>
      <c r="E958" s="472">
        <v>2</v>
      </c>
      <c r="F958" s="99" t="s">
        <v>621</v>
      </c>
      <c r="G958" s="99" t="s">
        <v>840</v>
      </c>
      <c r="H958" s="474">
        <f>'Справка 7'!D29</f>
        <v>14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39">
        <f t="shared" si="56"/>
        <v>44469</v>
      </c>
      <c r="D959" s="99" t="s">
        <v>624</v>
      </c>
      <c r="E959" s="472">
        <v>2</v>
      </c>
      <c r="F959" s="99" t="s">
        <v>623</v>
      </c>
      <c r="G959" s="99" t="s">
        <v>840</v>
      </c>
      <c r="H959" s="474">
        <f>'Справка 7'!D30</f>
        <v>246920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39">
        <f t="shared" si="56"/>
        <v>44469</v>
      </c>
      <c r="D960" s="99" t="s">
        <v>626</v>
      </c>
      <c r="E960" s="472">
        <v>2</v>
      </c>
      <c r="F960" s="99" t="s">
        <v>625</v>
      </c>
      <c r="G960" s="99" t="s">
        <v>840</v>
      </c>
      <c r="H960" s="474">
        <f>'Справка 7'!D31</f>
        <v>26390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39">
        <f t="shared" si="56"/>
        <v>44469</v>
      </c>
      <c r="D961" s="99" t="s">
        <v>628</v>
      </c>
      <c r="E961" s="472">
        <v>2</v>
      </c>
      <c r="F961" s="99" t="s">
        <v>627</v>
      </c>
      <c r="G961" s="99" t="s">
        <v>840</v>
      </c>
      <c r="H961" s="474">
        <f>'Справка 7'!D32</f>
        <v>1507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39">
        <f t="shared" si="56"/>
        <v>44469</v>
      </c>
      <c r="D962" s="99" t="s">
        <v>630</v>
      </c>
      <c r="E962" s="472">
        <v>2</v>
      </c>
      <c r="F962" s="99" t="s">
        <v>629</v>
      </c>
      <c r="G962" s="99" t="s">
        <v>840</v>
      </c>
      <c r="H962" s="474">
        <f>'Справка 7'!D33</f>
        <v>15432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39">
        <f t="shared" si="56"/>
        <v>44469</v>
      </c>
      <c r="D963" s="99" t="s">
        <v>632</v>
      </c>
      <c r="E963" s="472">
        <v>2</v>
      </c>
      <c r="F963" s="99" t="s">
        <v>631</v>
      </c>
      <c r="G963" s="99" t="s">
        <v>840</v>
      </c>
      <c r="H963" s="474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39">
        <f t="shared" si="56"/>
        <v>44469</v>
      </c>
      <c r="D964" s="99" t="s">
        <v>634</v>
      </c>
      <c r="E964" s="472">
        <v>2</v>
      </c>
      <c r="F964" s="99" t="s">
        <v>633</v>
      </c>
      <c r="G964" s="99" t="s">
        <v>840</v>
      </c>
      <c r="H964" s="474">
        <f>'Справка 7'!D35</f>
        <v>16448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39">
        <f t="shared" si="56"/>
        <v>44469</v>
      </c>
      <c r="D965" s="99" t="s">
        <v>636</v>
      </c>
      <c r="E965" s="472">
        <v>2</v>
      </c>
      <c r="F965" s="99" t="s">
        <v>842</v>
      </c>
      <c r="G965" s="99" t="s">
        <v>840</v>
      </c>
      <c r="H965" s="474">
        <f>'Справка 7'!D36</f>
        <v>1247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39">
        <f t="shared" si="56"/>
        <v>44469</v>
      </c>
      <c r="D966" s="99" t="s">
        <v>638</v>
      </c>
      <c r="E966" s="472">
        <v>2</v>
      </c>
      <c r="F966" s="99" t="s">
        <v>843</v>
      </c>
      <c r="G966" s="99" t="s">
        <v>840</v>
      </c>
      <c r="H966" s="474">
        <f>'Справка 7'!D37</f>
        <v>9780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39">
        <f t="shared" si="56"/>
        <v>44469</v>
      </c>
      <c r="D967" s="99" t="s">
        <v>640</v>
      </c>
      <c r="E967" s="472">
        <v>2</v>
      </c>
      <c r="F967" s="99" t="s">
        <v>844</v>
      </c>
      <c r="G967" s="99" t="s">
        <v>840</v>
      </c>
      <c r="H967" s="474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39">
        <f t="shared" si="56"/>
        <v>44469</v>
      </c>
      <c r="D968" s="99" t="s">
        <v>642</v>
      </c>
      <c r="E968" s="472">
        <v>2</v>
      </c>
      <c r="F968" s="99" t="s">
        <v>845</v>
      </c>
      <c r="G968" s="99" t="s">
        <v>840</v>
      </c>
      <c r="H968" s="474">
        <f>'Справка 7'!D39</f>
        <v>5421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39">
        <f t="shared" si="56"/>
        <v>44469</v>
      </c>
      <c r="D969" s="99" t="s">
        <v>644</v>
      </c>
      <c r="E969" s="472">
        <v>2</v>
      </c>
      <c r="F969" s="99" t="s">
        <v>643</v>
      </c>
      <c r="G969" s="99" t="s">
        <v>840</v>
      </c>
      <c r="H969" s="474">
        <f>'Справка 7'!D40</f>
        <v>4870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39">
        <f t="shared" si="56"/>
        <v>44469</v>
      </c>
      <c r="D970" s="99" t="s">
        <v>646</v>
      </c>
      <c r="E970" s="472">
        <v>2</v>
      </c>
      <c r="F970" s="99" t="s">
        <v>846</v>
      </c>
      <c r="G970" s="99" t="s">
        <v>840</v>
      </c>
      <c r="H970" s="474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39">
        <f t="shared" si="56"/>
        <v>44469</v>
      </c>
      <c r="D971" s="99" t="s">
        <v>648</v>
      </c>
      <c r="E971" s="472">
        <v>2</v>
      </c>
      <c r="F971" s="99" t="s">
        <v>847</v>
      </c>
      <c r="G971" s="99" t="s">
        <v>840</v>
      </c>
      <c r="H971" s="474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39">
        <f t="shared" si="56"/>
        <v>44469</v>
      </c>
      <c r="D972" s="99" t="s">
        <v>650</v>
      </c>
      <c r="E972" s="472">
        <v>2</v>
      </c>
      <c r="F972" s="99" t="s">
        <v>848</v>
      </c>
      <c r="G972" s="99" t="s">
        <v>840</v>
      </c>
      <c r="H972" s="474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39">
        <f t="shared" si="56"/>
        <v>44469</v>
      </c>
      <c r="D973" s="99" t="s">
        <v>652</v>
      </c>
      <c r="E973" s="472">
        <v>2</v>
      </c>
      <c r="F973" s="99" t="s">
        <v>621</v>
      </c>
      <c r="G973" s="99" t="s">
        <v>840</v>
      </c>
      <c r="H973" s="474">
        <f>'Справка 7'!D44</f>
        <v>4870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39">
        <f t="shared" si="56"/>
        <v>44469</v>
      </c>
      <c r="D974" s="99" t="s">
        <v>654</v>
      </c>
      <c r="E974" s="472">
        <v>2</v>
      </c>
      <c r="F974" s="99" t="s">
        <v>614</v>
      </c>
      <c r="G974" s="99" t="s">
        <v>840</v>
      </c>
      <c r="H974" s="474">
        <f>'Справка 7'!D45</f>
        <v>320841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39">
        <f t="shared" si="56"/>
        <v>44469</v>
      </c>
      <c r="D975" s="99" t="s">
        <v>656</v>
      </c>
      <c r="E975" s="472">
        <v>2</v>
      </c>
      <c r="F975" s="99" t="s">
        <v>655</v>
      </c>
      <c r="G975" s="99" t="s">
        <v>840</v>
      </c>
      <c r="H975" s="474">
        <f>'Справка 7'!D46</f>
        <v>320841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39">
        <f t="shared" ref="C976:C1039" si="59">endDate</f>
        <v>44469</v>
      </c>
      <c r="D976" s="99" t="s">
        <v>592</v>
      </c>
      <c r="E976" s="472">
        <v>3</v>
      </c>
      <c r="F976" s="99" t="s">
        <v>591</v>
      </c>
      <c r="G976" s="99" t="s">
        <v>840</v>
      </c>
      <c r="H976" s="474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39">
        <f t="shared" si="59"/>
        <v>44469</v>
      </c>
      <c r="D977" s="99" t="s">
        <v>595</v>
      </c>
      <c r="E977" s="472">
        <v>3</v>
      </c>
      <c r="F977" s="99" t="s">
        <v>594</v>
      </c>
      <c r="G977" s="99" t="s">
        <v>840</v>
      </c>
      <c r="H977" s="474">
        <f>'Справка 7'!E13</f>
        <v>51277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39">
        <f t="shared" si="59"/>
        <v>44469</v>
      </c>
      <c r="D978" s="99" t="s">
        <v>597</v>
      </c>
      <c r="E978" s="472">
        <v>3</v>
      </c>
      <c r="F978" s="99" t="s">
        <v>596</v>
      </c>
      <c r="G978" s="99" t="s">
        <v>840</v>
      </c>
      <c r="H978" s="474">
        <f>'Справка 7'!E14</f>
        <v>51276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39">
        <f t="shared" si="59"/>
        <v>44469</v>
      </c>
      <c r="D979" s="99" t="s">
        <v>599</v>
      </c>
      <c r="E979" s="472">
        <v>3</v>
      </c>
      <c r="F979" s="99" t="s">
        <v>598</v>
      </c>
      <c r="G979" s="99" t="s">
        <v>840</v>
      </c>
      <c r="H979" s="474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39">
        <f t="shared" si="59"/>
        <v>44469</v>
      </c>
      <c r="D980" s="99" t="s">
        <v>601</v>
      </c>
      <c r="E980" s="472">
        <v>3</v>
      </c>
      <c r="F980" s="99" t="s">
        <v>600</v>
      </c>
      <c r="G980" s="99" t="s">
        <v>840</v>
      </c>
      <c r="H980" s="474">
        <f>'Справка 7'!E16</f>
        <v>1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39">
        <f t="shared" si="59"/>
        <v>44469</v>
      </c>
      <c r="D981" s="99" t="s">
        <v>603</v>
      </c>
      <c r="E981" s="472">
        <v>3</v>
      </c>
      <c r="F981" s="99" t="s">
        <v>602</v>
      </c>
      <c r="G981" s="99" t="s">
        <v>840</v>
      </c>
      <c r="H981" s="474">
        <f>'Справка 7'!E17</f>
        <v>7770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39">
        <f t="shared" si="59"/>
        <v>44469</v>
      </c>
      <c r="D982" s="99" t="s">
        <v>605</v>
      </c>
      <c r="E982" s="472">
        <v>3</v>
      </c>
      <c r="F982" s="99" t="s">
        <v>604</v>
      </c>
      <c r="G982" s="99" t="s">
        <v>840</v>
      </c>
      <c r="H982" s="474">
        <f>'Справка 7'!E18</f>
        <v>4045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39">
        <f t="shared" si="59"/>
        <v>44469</v>
      </c>
      <c r="D983" s="99" t="s">
        <v>607</v>
      </c>
      <c r="E983" s="472">
        <v>3</v>
      </c>
      <c r="F983" s="99" t="s">
        <v>606</v>
      </c>
      <c r="G983" s="99" t="s">
        <v>840</v>
      </c>
      <c r="H983" s="474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39">
        <f t="shared" si="59"/>
        <v>44469</v>
      </c>
      <c r="D984" s="99" t="s">
        <v>608</v>
      </c>
      <c r="E984" s="472">
        <v>3</v>
      </c>
      <c r="F984" s="99" t="s">
        <v>600</v>
      </c>
      <c r="G984" s="99" t="s">
        <v>840</v>
      </c>
      <c r="H984" s="474">
        <f>'Справка 7'!E20</f>
        <v>4045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39">
        <f t="shared" si="59"/>
        <v>44469</v>
      </c>
      <c r="D985" s="99" t="s">
        <v>610</v>
      </c>
      <c r="E985" s="472">
        <v>3</v>
      </c>
      <c r="F985" s="99" t="s">
        <v>593</v>
      </c>
      <c r="G985" s="99" t="s">
        <v>840</v>
      </c>
      <c r="H985" s="474">
        <f>'Справка 7'!E21</f>
        <v>63092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39">
        <f t="shared" si="59"/>
        <v>44469</v>
      </c>
      <c r="D986" s="99" t="s">
        <v>613</v>
      </c>
      <c r="E986" s="472">
        <v>3</v>
      </c>
      <c r="F986" s="99" t="s">
        <v>841</v>
      </c>
      <c r="G986" s="99" t="s">
        <v>840</v>
      </c>
      <c r="H986" s="474">
        <f>'Справка 7'!E23</f>
        <v>182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39">
        <f t="shared" si="59"/>
        <v>44469</v>
      </c>
      <c r="D987" s="99" t="s">
        <v>616</v>
      </c>
      <c r="E987" s="472">
        <v>3</v>
      </c>
      <c r="F987" s="99" t="s">
        <v>615</v>
      </c>
      <c r="G987" s="99" t="s">
        <v>840</v>
      </c>
      <c r="H987" s="474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39">
        <f t="shared" si="59"/>
        <v>44469</v>
      </c>
      <c r="D988" s="99" t="s">
        <v>618</v>
      </c>
      <c r="E988" s="472">
        <v>3</v>
      </c>
      <c r="F988" s="99" t="s">
        <v>617</v>
      </c>
      <c r="G988" s="99" t="s">
        <v>840</v>
      </c>
      <c r="H988" s="474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39">
        <f t="shared" si="59"/>
        <v>44469</v>
      </c>
      <c r="D989" s="99" t="s">
        <v>620</v>
      </c>
      <c r="E989" s="472">
        <v>3</v>
      </c>
      <c r="F989" s="99" t="s">
        <v>619</v>
      </c>
      <c r="G989" s="99" t="s">
        <v>840</v>
      </c>
      <c r="H989" s="474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39">
        <f t="shared" si="59"/>
        <v>44469</v>
      </c>
      <c r="D990" s="99" t="s">
        <v>622</v>
      </c>
      <c r="E990" s="472">
        <v>3</v>
      </c>
      <c r="F990" s="99" t="s">
        <v>621</v>
      </c>
      <c r="G990" s="99" t="s">
        <v>840</v>
      </c>
      <c r="H990" s="474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39">
        <f t="shared" si="59"/>
        <v>44469</v>
      </c>
      <c r="D991" s="99" t="s">
        <v>624</v>
      </c>
      <c r="E991" s="472">
        <v>3</v>
      </c>
      <c r="F991" s="99" t="s">
        <v>623</v>
      </c>
      <c r="G991" s="99" t="s">
        <v>840</v>
      </c>
      <c r="H991" s="474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39">
        <f t="shared" si="59"/>
        <v>44469</v>
      </c>
      <c r="D992" s="99" t="s">
        <v>626</v>
      </c>
      <c r="E992" s="472">
        <v>3</v>
      </c>
      <c r="F992" s="99" t="s">
        <v>625</v>
      </c>
      <c r="G992" s="99" t="s">
        <v>840</v>
      </c>
      <c r="H992" s="474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39">
        <f t="shared" si="59"/>
        <v>44469</v>
      </c>
      <c r="D993" s="99" t="s">
        <v>628</v>
      </c>
      <c r="E993" s="472">
        <v>3</v>
      </c>
      <c r="F993" s="99" t="s">
        <v>627</v>
      </c>
      <c r="G993" s="99" t="s">
        <v>840</v>
      </c>
      <c r="H993" s="474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39">
        <f t="shared" si="59"/>
        <v>44469</v>
      </c>
      <c r="D994" s="99" t="s">
        <v>630</v>
      </c>
      <c r="E994" s="472">
        <v>3</v>
      </c>
      <c r="F994" s="99" t="s">
        <v>629</v>
      </c>
      <c r="G994" s="99" t="s">
        <v>840</v>
      </c>
      <c r="H994" s="474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39">
        <f t="shared" si="59"/>
        <v>44469</v>
      </c>
      <c r="D995" s="99" t="s">
        <v>632</v>
      </c>
      <c r="E995" s="472">
        <v>3</v>
      </c>
      <c r="F995" s="99" t="s">
        <v>631</v>
      </c>
      <c r="G995" s="99" t="s">
        <v>840</v>
      </c>
      <c r="H995" s="474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39">
        <f t="shared" si="59"/>
        <v>44469</v>
      </c>
      <c r="D996" s="99" t="s">
        <v>634</v>
      </c>
      <c r="E996" s="472">
        <v>3</v>
      </c>
      <c r="F996" s="99" t="s">
        <v>633</v>
      </c>
      <c r="G996" s="99" t="s">
        <v>840</v>
      </c>
      <c r="H996" s="474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39">
        <f t="shared" si="59"/>
        <v>44469</v>
      </c>
      <c r="D997" s="99" t="s">
        <v>636</v>
      </c>
      <c r="E997" s="472">
        <v>3</v>
      </c>
      <c r="F997" s="99" t="s">
        <v>842</v>
      </c>
      <c r="G997" s="99" t="s">
        <v>840</v>
      </c>
      <c r="H997" s="474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39">
        <f t="shared" si="59"/>
        <v>44469</v>
      </c>
      <c r="D998" s="99" t="s">
        <v>638</v>
      </c>
      <c r="E998" s="472">
        <v>3</v>
      </c>
      <c r="F998" s="99" t="s">
        <v>843</v>
      </c>
      <c r="G998" s="99" t="s">
        <v>840</v>
      </c>
      <c r="H998" s="474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39">
        <f t="shared" si="59"/>
        <v>44469</v>
      </c>
      <c r="D999" s="99" t="s">
        <v>640</v>
      </c>
      <c r="E999" s="472">
        <v>3</v>
      </c>
      <c r="F999" s="99" t="s">
        <v>844</v>
      </c>
      <c r="G999" s="99" t="s">
        <v>840</v>
      </c>
      <c r="H999" s="474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39">
        <f t="shared" si="59"/>
        <v>44469</v>
      </c>
      <c r="D1000" s="99" t="s">
        <v>642</v>
      </c>
      <c r="E1000" s="472">
        <v>3</v>
      </c>
      <c r="F1000" s="99" t="s">
        <v>845</v>
      </c>
      <c r="G1000" s="99" t="s">
        <v>840</v>
      </c>
      <c r="H1000" s="474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39">
        <f t="shared" si="59"/>
        <v>44469</v>
      </c>
      <c r="D1001" s="99" t="s">
        <v>644</v>
      </c>
      <c r="E1001" s="472">
        <v>3</v>
      </c>
      <c r="F1001" s="99" t="s">
        <v>643</v>
      </c>
      <c r="G1001" s="99" t="s">
        <v>840</v>
      </c>
      <c r="H1001" s="474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39">
        <f t="shared" si="59"/>
        <v>44469</v>
      </c>
      <c r="D1002" s="99" t="s">
        <v>646</v>
      </c>
      <c r="E1002" s="472">
        <v>3</v>
      </c>
      <c r="F1002" s="99" t="s">
        <v>846</v>
      </c>
      <c r="G1002" s="99" t="s">
        <v>840</v>
      </c>
      <c r="H1002" s="474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39">
        <f t="shared" si="59"/>
        <v>44469</v>
      </c>
      <c r="D1003" s="99" t="s">
        <v>648</v>
      </c>
      <c r="E1003" s="472">
        <v>3</v>
      </c>
      <c r="F1003" s="99" t="s">
        <v>847</v>
      </c>
      <c r="G1003" s="99" t="s">
        <v>840</v>
      </c>
      <c r="H1003" s="474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39">
        <f t="shared" si="59"/>
        <v>44469</v>
      </c>
      <c r="D1004" s="99" t="s">
        <v>650</v>
      </c>
      <c r="E1004" s="472">
        <v>3</v>
      </c>
      <c r="F1004" s="99" t="s">
        <v>848</v>
      </c>
      <c r="G1004" s="99" t="s">
        <v>840</v>
      </c>
      <c r="H1004" s="474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39">
        <f t="shared" si="59"/>
        <v>44469</v>
      </c>
      <c r="D1005" s="99" t="s">
        <v>652</v>
      </c>
      <c r="E1005" s="472">
        <v>3</v>
      </c>
      <c r="F1005" s="99" t="s">
        <v>621</v>
      </c>
      <c r="G1005" s="99" t="s">
        <v>840</v>
      </c>
      <c r="H1005" s="474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39">
        <f t="shared" si="59"/>
        <v>44469</v>
      </c>
      <c r="D1006" s="99" t="s">
        <v>654</v>
      </c>
      <c r="E1006" s="472">
        <v>3</v>
      </c>
      <c r="F1006" s="99" t="s">
        <v>614</v>
      </c>
      <c r="G1006" s="99" t="s">
        <v>840</v>
      </c>
      <c r="H1006" s="474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39">
        <f t="shared" si="59"/>
        <v>44469</v>
      </c>
      <c r="D1007" s="99" t="s">
        <v>656</v>
      </c>
      <c r="E1007" s="472">
        <v>3</v>
      </c>
      <c r="F1007" s="99" t="s">
        <v>655</v>
      </c>
      <c r="G1007" s="99" t="s">
        <v>840</v>
      </c>
      <c r="H1007" s="474">
        <f>'Справка 7'!E46</f>
        <v>63274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39">
        <f t="shared" si="59"/>
        <v>44469</v>
      </c>
      <c r="D1008" s="99" t="s">
        <v>663</v>
      </c>
      <c r="E1008" s="472">
        <v>1</v>
      </c>
      <c r="F1008" s="99" t="s">
        <v>662</v>
      </c>
      <c r="G1008" s="476" t="s">
        <v>849</v>
      </c>
      <c r="H1008" s="99">
        <f>'Справка 7'!C54</f>
        <v>8882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39">
        <f t="shared" si="59"/>
        <v>44469</v>
      </c>
      <c r="D1009" s="99" t="s">
        <v>665</v>
      </c>
      <c r="E1009" s="472">
        <v>1</v>
      </c>
      <c r="F1009" s="99" t="s">
        <v>664</v>
      </c>
      <c r="G1009" s="476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39">
        <f t="shared" si="59"/>
        <v>44469</v>
      </c>
      <c r="D1010" s="99" t="s">
        <v>667</v>
      </c>
      <c r="E1010" s="472">
        <v>1</v>
      </c>
      <c r="F1010" s="99" t="s">
        <v>666</v>
      </c>
      <c r="G1010" s="476" t="s">
        <v>849</v>
      </c>
      <c r="H1010" s="99">
        <f>'Справка 7'!C56</f>
        <v>8882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39">
        <f t="shared" si="59"/>
        <v>44469</v>
      </c>
      <c r="D1011" s="99" t="s">
        <v>668</v>
      </c>
      <c r="E1011" s="472">
        <v>1</v>
      </c>
      <c r="F1011" s="99" t="s">
        <v>651</v>
      </c>
      <c r="G1011" s="476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39">
        <f t="shared" si="59"/>
        <v>44469</v>
      </c>
      <c r="D1012" s="99" t="s">
        <v>670</v>
      </c>
      <c r="E1012" s="472">
        <v>1</v>
      </c>
      <c r="F1012" s="99" t="s">
        <v>669</v>
      </c>
      <c r="G1012" s="476" t="s">
        <v>849</v>
      </c>
      <c r="H1012" s="99">
        <f>'Справка 7'!C58</f>
        <v>34797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39">
        <f t="shared" si="59"/>
        <v>44469</v>
      </c>
      <c r="D1013" s="99" t="s">
        <v>672</v>
      </c>
      <c r="E1013" s="472">
        <v>1</v>
      </c>
      <c r="F1013" s="99" t="s">
        <v>671</v>
      </c>
      <c r="G1013" s="476" t="s">
        <v>849</v>
      </c>
      <c r="H1013" s="99">
        <f>'Справка 7'!C59</f>
        <v>34797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39">
        <f t="shared" si="59"/>
        <v>44469</v>
      </c>
      <c r="D1014" s="99" t="s">
        <v>674</v>
      </c>
      <c r="E1014" s="472">
        <v>1</v>
      </c>
      <c r="F1014" s="99" t="s">
        <v>673</v>
      </c>
      <c r="G1014" s="476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39">
        <f t="shared" si="59"/>
        <v>44469</v>
      </c>
      <c r="D1015" s="99" t="s">
        <v>676</v>
      </c>
      <c r="E1015" s="472">
        <v>1</v>
      </c>
      <c r="F1015" s="99" t="s">
        <v>675</v>
      </c>
      <c r="G1015" s="476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39">
        <f t="shared" si="59"/>
        <v>44469</v>
      </c>
      <c r="D1016" s="99" t="s">
        <v>677</v>
      </c>
      <c r="E1016" s="472">
        <v>1</v>
      </c>
      <c r="F1016" s="99" t="s">
        <v>673</v>
      </c>
      <c r="G1016" s="476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39">
        <f t="shared" si="59"/>
        <v>44469</v>
      </c>
      <c r="D1017" s="99" t="s">
        <v>678</v>
      </c>
      <c r="E1017" s="472">
        <v>1</v>
      </c>
      <c r="F1017" s="99" t="s">
        <v>139</v>
      </c>
      <c r="G1017" s="476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39">
        <f t="shared" si="59"/>
        <v>44469</v>
      </c>
      <c r="D1018" s="99" t="s">
        <v>679</v>
      </c>
      <c r="E1018" s="472">
        <v>1</v>
      </c>
      <c r="F1018" s="99" t="s">
        <v>142</v>
      </c>
      <c r="G1018" s="476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39">
        <f t="shared" si="59"/>
        <v>44469</v>
      </c>
      <c r="D1019" s="99" t="s">
        <v>681</v>
      </c>
      <c r="E1019" s="472">
        <v>1</v>
      </c>
      <c r="F1019" s="99" t="s">
        <v>680</v>
      </c>
      <c r="G1019" s="476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39">
        <f t="shared" si="59"/>
        <v>44469</v>
      </c>
      <c r="D1020" s="99" t="s">
        <v>683</v>
      </c>
      <c r="E1020" s="472">
        <v>1</v>
      </c>
      <c r="F1020" s="99" t="s">
        <v>682</v>
      </c>
      <c r="G1020" s="476" t="s">
        <v>849</v>
      </c>
      <c r="H1020" s="99">
        <f>'Справка 7'!C66</f>
        <v>72986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39">
        <f t="shared" si="59"/>
        <v>44469</v>
      </c>
      <c r="D1021" s="99" t="s">
        <v>685</v>
      </c>
      <c r="E1021" s="472">
        <v>1</v>
      </c>
      <c r="F1021" s="99" t="s">
        <v>684</v>
      </c>
      <c r="G1021" s="476" t="s">
        <v>849</v>
      </c>
      <c r="H1021" s="99">
        <f>'Справка 7'!C67</f>
        <v>45250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39">
        <f t="shared" si="59"/>
        <v>44469</v>
      </c>
      <c r="D1022" s="99" t="s">
        <v>687</v>
      </c>
      <c r="E1022" s="472">
        <v>1</v>
      </c>
      <c r="F1022" s="99" t="s">
        <v>661</v>
      </c>
      <c r="G1022" s="476" t="s">
        <v>849</v>
      </c>
      <c r="H1022" s="99">
        <f>'Справка 7'!C68</f>
        <v>116665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39">
        <f t="shared" si="59"/>
        <v>44469</v>
      </c>
      <c r="D1023" s="99" t="s">
        <v>690</v>
      </c>
      <c r="E1023" s="472">
        <v>1</v>
      </c>
      <c r="F1023" s="99" t="s">
        <v>850</v>
      </c>
      <c r="G1023" s="476" t="s">
        <v>849</v>
      </c>
      <c r="H1023" s="99">
        <f>'Справка 7'!C70</f>
        <v>7746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39">
        <f t="shared" si="59"/>
        <v>44469</v>
      </c>
      <c r="D1024" s="99" t="s">
        <v>692</v>
      </c>
      <c r="E1024" s="472">
        <v>1</v>
      </c>
      <c r="F1024" s="99" t="s">
        <v>662</v>
      </c>
      <c r="G1024" s="476" t="s">
        <v>849</v>
      </c>
      <c r="H1024" s="99">
        <f>'Справка 7'!C73</f>
        <v>2610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39">
        <f t="shared" si="59"/>
        <v>44469</v>
      </c>
      <c r="D1025" s="99" t="s">
        <v>694</v>
      </c>
      <c r="E1025" s="472">
        <v>1</v>
      </c>
      <c r="F1025" s="99" t="s">
        <v>693</v>
      </c>
      <c r="G1025" s="476" t="s">
        <v>849</v>
      </c>
      <c r="H1025" s="99">
        <f>'Справка 7'!C74</f>
        <v>2610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39">
        <f t="shared" si="59"/>
        <v>44469</v>
      </c>
      <c r="D1026" s="99" t="s">
        <v>696</v>
      </c>
      <c r="E1026" s="472">
        <v>1</v>
      </c>
      <c r="F1026" s="99" t="s">
        <v>695</v>
      </c>
      <c r="G1026" s="476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39">
        <f t="shared" si="59"/>
        <v>44469</v>
      </c>
      <c r="D1027" s="99" t="s">
        <v>698</v>
      </c>
      <c r="E1027" s="472">
        <v>1</v>
      </c>
      <c r="F1027" s="99" t="s">
        <v>697</v>
      </c>
      <c r="G1027" s="476" t="s">
        <v>849</v>
      </c>
      <c r="H1027" s="99">
        <f>'Справка 7'!C76</f>
        <v>0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39">
        <f t="shared" si="59"/>
        <v>44469</v>
      </c>
      <c r="D1028" s="99" t="s">
        <v>699</v>
      </c>
      <c r="E1028" s="472">
        <v>1</v>
      </c>
      <c r="F1028" s="99" t="s">
        <v>669</v>
      </c>
      <c r="G1028" s="476" t="s">
        <v>849</v>
      </c>
      <c r="H1028" s="99">
        <f>'Справка 7'!C77</f>
        <v>187948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39">
        <f t="shared" si="59"/>
        <v>44469</v>
      </c>
      <c r="D1029" s="99" t="s">
        <v>701</v>
      </c>
      <c r="E1029" s="472">
        <v>1</v>
      </c>
      <c r="F1029" s="99" t="s">
        <v>700</v>
      </c>
      <c r="G1029" s="476" t="s">
        <v>849</v>
      </c>
      <c r="H1029" s="99">
        <f>'Справка 7'!C78</f>
        <v>187948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39">
        <f t="shared" si="59"/>
        <v>44469</v>
      </c>
      <c r="D1030" s="99" t="s">
        <v>703</v>
      </c>
      <c r="E1030" s="472">
        <v>1</v>
      </c>
      <c r="F1030" s="99" t="s">
        <v>702</v>
      </c>
      <c r="G1030" s="476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39">
        <f t="shared" si="59"/>
        <v>44469</v>
      </c>
      <c r="D1031" s="99" t="s">
        <v>705</v>
      </c>
      <c r="E1031" s="472">
        <v>1</v>
      </c>
      <c r="F1031" s="99" t="s">
        <v>704</v>
      </c>
      <c r="G1031" s="476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39">
        <f t="shared" si="59"/>
        <v>44469</v>
      </c>
      <c r="D1032" s="99" t="s">
        <v>706</v>
      </c>
      <c r="E1032" s="472">
        <v>1</v>
      </c>
      <c r="F1032" s="99" t="s">
        <v>673</v>
      </c>
      <c r="G1032" s="476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39">
        <f t="shared" si="59"/>
        <v>44469</v>
      </c>
      <c r="D1033" s="99" t="s">
        <v>708</v>
      </c>
      <c r="E1033" s="472">
        <v>1</v>
      </c>
      <c r="F1033" s="99" t="s">
        <v>707</v>
      </c>
      <c r="G1033" s="476" t="s">
        <v>849</v>
      </c>
      <c r="H1033" s="99">
        <f>'Справка 7'!C82</f>
        <v>25690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39">
        <f t="shared" si="59"/>
        <v>44469</v>
      </c>
      <c r="D1034" s="99" t="s">
        <v>710</v>
      </c>
      <c r="E1034" s="472">
        <v>1</v>
      </c>
      <c r="F1034" s="99" t="s">
        <v>709</v>
      </c>
      <c r="G1034" s="476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39">
        <f t="shared" si="59"/>
        <v>44469</v>
      </c>
      <c r="D1035" s="99" t="s">
        <v>712</v>
      </c>
      <c r="E1035" s="472">
        <v>1</v>
      </c>
      <c r="F1035" s="99" t="s">
        <v>711</v>
      </c>
      <c r="G1035" s="476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39">
        <f t="shared" si="59"/>
        <v>44469</v>
      </c>
      <c r="D1036" s="99" t="s">
        <v>714</v>
      </c>
      <c r="E1036" s="472">
        <v>1</v>
      </c>
      <c r="F1036" s="99" t="s">
        <v>713</v>
      </c>
      <c r="G1036" s="476" t="s">
        <v>849</v>
      </c>
      <c r="H1036" s="99">
        <f>'Справка 7'!C85</f>
        <v>25690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39">
        <f t="shared" si="59"/>
        <v>44469</v>
      </c>
      <c r="D1037" s="99" t="s">
        <v>716</v>
      </c>
      <c r="E1037" s="472">
        <v>1</v>
      </c>
      <c r="F1037" s="99" t="s">
        <v>715</v>
      </c>
      <c r="G1037" s="476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39">
        <f t="shared" si="59"/>
        <v>44469</v>
      </c>
      <c r="D1038" s="99" t="s">
        <v>718</v>
      </c>
      <c r="E1038" s="472">
        <v>1</v>
      </c>
      <c r="F1038" s="99" t="s">
        <v>717</v>
      </c>
      <c r="G1038" s="476" t="s">
        <v>849</v>
      </c>
      <c r="H1038" s="99">
        <f>'Справка 7'!C87</f>
        <v>214917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39">
        <f t="shared" si="59"/>
        <v>44469</v>
      </c>
      <c r="D1039" s="99" t="s">
        <v>720</v>
      </c>
      <c r="E1039" s="472">
        <v>1</v>
      </c>
      <c r="F1039" s="99" t="s">
        <v>719</v>
      </c>
      <c r="G1039" s="476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39">
        <f t="shared" ref="C1040:C1103" si="62">endDate</f>
        <v>44469</v>
      </c>
      <c r="D1040" s="99" t="s">
        <v>722</v>
      </c>
      <c r="E1040" s="472">
        <v>1</v>
      </c>
      <c r="F1040" s="99" t="s">
        <v>721</v>
      </c>
      <c r="G1040" s="476" t="s">
        <v>849</v>
      </c>
      <c r="H1040" s="99">
        <f>'Справка 7'!C89</f>
        <v>187987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39">
        <f t="shared" si="62"/>
        <v>44469</v>
      </c>
      <c r="D1041" s="99" t="s">
        <v>724</v>
      </c>
      <c r="E1041" s="472">
        <v>1</v>
      </c>
      <c r="F1041" s="99" t="s">
        <v>723</v>
      </c>
      <c r="G1041" s="476" t="s">
        <v>849</v>
      </c>
      <c r="H1041" s="99">
        <f>'Справка 7'!C90</f>
        <v>648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39">
        <f t="shared" si="62"/>
        <v>44469</v>
      </c>
      <c r="D1042" s="99" t="s">
        <v>726</v>
      </c>
      <c r="E1042" s="472">
        <v>1</v>
      </c>
      <c r="F1042" s="99" t="s">
        <v>725</v>
      </c>
      <c r="G1042" s="476" t="s">
        <v>849</v>
      </c>
      <c r="H1042" s="99">
        <f>'Справка 7'!C91</f>
        <v>15075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39">
        <f t="shared" si="62"/>
        <v>44469</v>
      </c>
      <c r="D1043" s="99" t="s">
        <v>728</v>
      </c>
      <c r="E1043" s="472">
        <v>1</v>
      </c>
      <c r="F1043" s="99" t="s">
        <v>727</v>
      </c>
      <c r="G1043" s="476" t="s">
        <v>849</v>
      </c>
      <c r="H1043" s="99">
        <f>'Справка 7'!C92</f>
        <v>8006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39">
        <f t="shared" si="62"/>
        <v>44469</v>
      </c>
      <c r="D1044" s="99" t="s">
        <v>730</v>
      </c>
      <c r="E1044" s="472">
        <v>1</v>
      </c>
      <c r="F1044" s="99" t="s">
        <v>729</v>
      </c>
      <c r="G1044" s="476" t="s">
        <v>849</v>
      </c>
      <c r="H1044" s="99">
        <f>'Справка 7'!C93</f>
        <v>83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39">
        <f t="shared" si="62"/>
        <v>44469</v>
      </c>
      <c r="D1045" s="99" t="s">
        <v>731</v>
      </c>
      <c r="E1045" s="472">
        <v>1</v>
      </c>
      <c r="F1045" s="99" t="s">
        <v>637</v>
      </c>
      <c r="G1045" s="476" t="s">
        <v>849</v>
      </c>
      <c r="H1045" s="99">
        <f>'Справка 7'!C94</f>
        <v>6342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39">
        <f t="shared" si="62"/>
        <v>44469</v>
      </c>
      <c r="D1046" s="99" t="s">
        <v>732</v>
      </c>
      <c r="E1046" s="472">
        <v>1</v>
      </c>
      <c r="F1046" s="99" t="s">
        <v>641</v>
      </c>
      <c r="G1046" s="476" t="s">
        <v>849</v>
      </c>
      <c r="H1046" s="99">
        <f>'Справка 7'!C95</f>
        <v>1581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39">
        <f t="shared" si="62"/>
        <v>44469</v>
      </c>
      <c r="D1047" s="99" t="s">
        <v>734</v>
      </c>
      <c r="E1047" s="472">
        <v>1</v>
      </c>
      <c r="F1047" s="99" t="s">
        <v>733</v>
      </c>
      <c r="G1047" s="476" t="s">
        <v>849</v>
      </c>
      <c r="H1047" s="99">
        <f>'Справка 7'!C96</f>
        <v>3201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39">
        <f t="shared" si="62"/>
        <v>44469</v>
      </c>
      <c r="D1048" s="99" t="s">
        <v>736</v>
      </c>
      <c r="E1048" s="472">
        <v>1</v>
      </c>
      <c r="F1048" s="99" t="s">
        <v>735</v>
      </c>
      <c r="G1048" s="476" t="s">
        <v>849</v>
      </c>
      <c r="H1048" s="99">
        <f>'Справка 7'!C97</f>
        <v>61232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39">
        <f t="shared" si="62"/>
        <v>44469</v>
      </c>
      <c r="D1049" s="99" t="s">
        <v>738</v>
      </c>
      <c r="E1049" s="472">
        <v>1</v>
      </c>
      <c r="F1049" s="99" t="s">
        <v>691</v>
      </c>
      <c r="G1049" s="476" t="s">
        <v>849</v>
      </c>
      <c r="H1049" s="99">
        <f>'Справка 7'!C98</f>
        <v>492397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39">
        <f t="shared" si="62"/>
        <v>44469</v>
      </c>
      <c r="D1050" s="99" t="s">
        <v>740</v>
      </c>
      <c r="E1050" s="472">
        <v>1</v>
      </c>
      <c r="F1050" s="99" t="s">
        <v>739</v>
      </c>
      <c r="G1050" s="476" t="s">
        <v>849</v>
      </c>
      <c r="H1050" s="99">
        <f>'Справка 7'!C99</f>
        <v>616808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39">
        <f t="shared" si="62"/>
        <v>44469</v>
      </c>
      <c r="D1051" s="99" t="s">
        <v>663</v>
      </c>
      <c r="E1051" s="472">
        <v>2</v>
      </c>
      <c r="F1051" s="99" t="s">
        <v>662</v>
      </c>
      <c r="G1051" s="476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39">
        <f t="shared" si="62"/>
        <v>44469</v>
      </c>
      <c r="D1052" s="99" t="s">
        <v>665</v>
      </c>
      <c r="E1052" s="472">
        <v>2</v>
      </c>
      <c r="F1052" s="99" t="s">
        <v>664</v>
      </c>
      <c r="G1052" s="476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39">
        <f t="shared" si="62"/>
        <v>44469</v>
      </c>
      <c r="D1053" s="99" t="s">
        <v>667</v>
      </c>
      <c r="E1053" s="472">
        <v>2</v>
      </c>
      <c r="F1053" s="99" t="s">
        <v>666</v>
      </c>
      <c r="G1053" s="476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39">
        <f t="shared" si="62"/>
        <v>44469</v>
      </c>
      <c r="D1054" s="99" t="s">
        <v>668</v>
      </c>
      <c r="E1054" s="472">
        <v>2</v>
      </c>
      <c r="F1054" s="99" t="s">
        <v>651</v>
      </c>
      <c r="G1054" s="476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39">
        <f t="shared" si="62"/>
        <v>44469</v>
      </c>
      <c r="D1055" s="99" t="s">
        <v>670</v>
      </c>
      <c r="E1055" s="472">
        <v>2</v>
      </c>
      <c r="F1055" s="99" t="s">
        <v>669</v>
      </c>
      <c r="G1055" s="476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39">
        <f t="shared" si="62"/>
        <v>44469</v>
      </c>
      <c r="D1056" s="99" t="s">
        <v>672</v>
      </c>
      <c r="E1056" s="472">
        <v>2</v>
      </c>
      <c r="F1056" s="99" t="s">
        <v>671</v>
      </c>
      <c r="G1056" s="476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39">
        <f t="shared" si="62"/>
        <v>44469</v>
      </c>
      <c r="D1057" s="99" t="s">
        <v>674</v>
      </c>
      <c r="E1057" s="472">
        <v>2</v>
      </c>
      <c r="F1057" s="99" t="s">
        <v>673</v>
      </c>
      <c r="G1057" s="476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39">
        <f t="shared" si="62"/>
        <v>44469</v>
      </c>
      <c r="D1058" s="99" t="s">
        <v>676</v>
      </c>
      <c r="E1058" s="472">
        <v>2</v>
      </c>
      <c r="F1058" s="99" t="s">
        <v>675</v>
      </c>
      <c r="G1058" s="476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39">
        <f t="shared" si="62"/>
        <v>44469</v>
      </c>
      <c r="D1059" s="99" t="s">
        <v>677</v>
      </c>
      <c r="E1059" s="472">
        <v>2</v>
      </c>
      <c r="F1059" s="99" t="s">
        <v>673</v>
      </c>
      <c r="G1059" s="476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39">
        <f t="shared" si="62"/>
        <v>44469</v>
      </c>
      <c r="D1060" s="99" t="s">
        <v>678</v>
      </c>
      <c r="E1060" s="472">
        <v>2</v>
      </c>
      <c r="F1060" s="99" t="s">
        <v>139</v>
      </c>
      <c r="G1060" s="476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39">
        <f t="shared" si="62"/>
        <v>44469</v>
      </c>
      <c r="D1061" s="99" t="s">
        <v>679</v>
      </c>
      <c r="E1061" s="472">
        <v>2</v>
      </c>
      <c r="F1061" s="99" t="s">
        <v>142</v>
      </c>
      <c r="G1061" s="476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39">
        <f t="shared" si="62"/>
        <v>44469</v>
      </c>
      <c r="D1062" s="99" t="s">
        <v>681</v>
      </c>
      <c r="E1062" s="472">
        <v>2</v>
      </c>
      <c r="F1062" s="99" t="s">
        <v>680</v>
      </c>
      <c r="G1062" s="476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39">
        <f t="shared" si="62"/>
        <v>44469</v>
      </c>
      <c r="D1063" s="99" t="s">
        <v>683</v>
      </c>
      <c r="E1063" s="472">
        <v>2</v>
      </c>
      <c r="F1063" s="99" t="s">
        <v>682</v>
      </c>
      <c r="G1063" s="476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39">
        <f t="shared" si="62"/>
        <v>44469</v>
      </c>
      <c r="D1064" s="99" t="s">
        <v>685</v>
      </c>
      <c r="E1064" s="472">
        <v>2</v>
      </c>
      <c r="F1064" s="99" t="s">
        <v>684</v>
      </c>
      <c r="G1064" s="476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39">
        <f t="shared" si="62"/>
        <v>44469</v>
      </c>
      <c r="D1065" s="99" t="s">
        <v>687</v>
      </c>
      <c r="E1065" s="472">
        <v>2</v>
      </c>
      <c r="F1065" s="99" t="s">
        <v>661</v>
      </c>
      <c r="G1065" s="476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39">
        <f t="shared" si="62"/>
        <v>44469</v>
      </c>
      <c r="D1066" s="99" t="s">
        <v>690</v>
      </c>
      <c r="E1066" s="472">
        <v>2</v>
      </c>
      <c r="F1066" s="99" t="s">
        <v>850</v>
      </c>
      <c r="G1066" s="476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39">
        <f t="shared" si="62"/>
        <v>44469</v>
      </c>
      <c r="D1067" s="99" t="s">
        <v>692</v>
      </c>
      <c r="E1067" s="472">
        <v>2</v>
      </c>
      <c r="F1067" s="99" t="s">
        <v>662</v>
      </c>
      <c r="G1067" s="476" t="s">
        <v>849</v>
      </c>
      <c r="H1067" s="99">
        <f>'Справка 7'!D73</f>
        <v>2610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39">
        <f t="shared" si="62"/>
        <v>44469</v>
      </c>
      <c r="D1068" s="99" t="s">
        <v>694</v>
      </c>
      <c r="E1068" s="472">
        <v>2</v>
      </c>
      <c r="F1068" s="99" t="s">
        <v>693</v>
      </c>
      <c r="G1068" s="476" t="s">
        <v>849</v>
      </c>
      <c r="H1068" s="99">
        <f>'Справка 7'!D74</f>
        <v>2610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39">
        <f t="shared" si="62"/>
        <v>44469</v>
      </c>
      <c r="D1069" s="99" t="s">
        <v>696</v>
      </c>
      <c r="E1069" s="472">
        <v>2</v>
      </c>
      <c r="F1069" s="99" t="s">
        <v>695</v>
      </c>
      <c r="G1069" s="476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39">
        <f t="shared" si="62"/>
        <v>44469</v>
      </c>
      <c r="D1070" s="99" t="s">
        <v>698</v>
      </c>
      <c r="E1070" s="472">
        <v>2</v>
      </c>
      <c r="F1070" s="99" t="s">
        <v>697</v>
      </c>
      <c r="G1070" s="476" t="s">
        <v>849</v>
      </c>
      <c r="H1070" s="99">
        <f>'Справка 7'!D76</f>
        <v>0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39">
        <f t="shared" si="62"/>
        <v>44469</v>
      </c>
      <c r="D1071" s="99" t="s">
        <v>699</v>
      </c>
      <c r="E1071" s="472">
        <v>2</v>
      </c>
      <c r="F1071" s="99" t="s">
        <v>669</v>
      </c>
      <c r="G1071" s="476" t="s">
        <v>849</v>
      </c>
      <c r="H1071" s="99">
        <f>'Справка 7'!D77</f>
        <v>187948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39">
        <f t="shared" si="62"/>
        <v>44469</v>
      </c>
      <c r="D1072" s="99" t="s">
        <v>701</v>
      </c>
      <c r="E1072" s="472">
        <v>2</v>
      </c>
      <c r="F1072" s="99" t="s">
        <v>700</v>
      </c>
      <c r="G1072" s="476" t="s">
        <v>849</v>
      </c>
      <c r="H1072" s="99">
        <f>'Справка 7'!D78</f>
        <v>187948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39">
        <f t="shared" si="62"/>
        <v>44469</v>
      </c>
      <c r="D1073" s="99" t="s">
        <v>703</v>
      </c>
      <c r="E1073" s="472">
        <v>2</v>
      </c>
      <c r="F1073" s="99" t="s">
        <v>702</v>
      </c>
      <c r="G1073" s="476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39">
        <f t="shared" si="62"/>
        <v>44469</v>
      </c>
      <c r="D1074" s="99" t="s">
        <v>705</v>
      </c>
      <c r="E1074" s="472">
        <v>2</v>
      </c>
      <c r="F1074" s="99" t="s">
        <v>704</v>
      </c>
      <c r="G1074" s="476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39">
        <f t="shared" si="62"/>
        <v>44469</v>
      </c>
      <c r="D1075" s="99" t="s">
        <v>706</v>
      </c>
      <c r="E1075" s="472">
        <v>2</v>
      </c>
      <c r="F1075" s="99" t="s">
        <v>673</v>
      </c>
      <c r="G1075" s="476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39">
        <f t="shared" si="62"/>
        <v>44469</v>
      </c>
      <c r="D1076" s="99" t="s">
        <v>708</v>
      </c>
      <c r="E1076" s="472">
        <v>2</v>
      </c>
      <c r="F1076" s="99" t="s">
        <v>707</v>
      </c>
      <c r="G1076" s="476" t="s">
        <v>849</v>
      </c>
      <c r="H1076" s="99">
        <f>'Справка 7'!D82</f>
        <v>25690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39">
        <f t="shared" si="62"/>
        <v>44469</v>
      </c>
      <c r="D1077" s="99" t="s">
        <v>710</v>
      </c>
      <c r="E1077" s="472">
        <v>2</v>
      </c>
      <c r="F1077" s="99" t="s">
        <v>709</v>
      </c>
      <c r="G1077" s="476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39">
        <f t="shared" si="62"/>
        <v>44469</v>
      </c>
      <c r="D1078" s="99" t="s">
        <v>712</v>
      </c>
      <c r="E1078" s="472">
        <v>2</v>
      </c>
      <c r="F1078" s="99" t="s">
        <v>711</v>
      </c>
      <c r="G1078" s="476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39">
        <f t="shared" si="62"/>
        <v>44469</v>
      </c>
      <c r="D1079" s="99" t="s">
        <v>714</v>
      </c>
      <c r="E1079" s="472">
        <v>2</v>
      </c>
      <c r="F1079" s="99" t="s">
        <v>713</v>
      </c>
      <c r="G1079" s="476" t="s">
        <v>849</v>
      </c>
      <c r="H1079" s="99">
        <f>'Справка 7'!D85</f>
        <v>25690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39">
        <f t="shared" si="62"/>
        <v>44469</v>
      </c>
      <c r="D1080" s="99" t="s">
        <v>716</v>
      </c>
      <c r="E1080" s="472">
        <v>2</v>
      </c>
      <c r="F1080" s="99" t="s">
        <v>715</v>
      </c>
      <c r="G1080" s="476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39">
        <f t="shared" si="62"/>
        <v>44469</v>
      </c>
      <c r="D1081" s="99" t="s">
        <v>718</v>
      </c>
      <c r="E1081" s="472">
        <v>2</v>
      </c>
      <c r="F1081" s="99" t="s">
        <v>717</v>
      </c>
      <c r="G1081" s="476" t="s">
        <v>849</v>
      </c>
      <c r="H1081" s="99">
        <f>'Справка 7'!D87</f>
        <v>214917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39">
        <f t="shared" si="62"/>
        <v>44469</v>
      </c>
      <c r="D1082" s="99" t="s">
        <v>720</v>
      </c>
      <c r="E1082" s="472">
        <v>2</v>
      </c>
      <c r="F1082" s="99" t="s">
        <v>719</v>
      </c>
      <c r="G1082" s="476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39">
        <f t="shared" si="62"/>
        <v>44469</v>
      </c>
      <c r="D1083" s="99" t="s">
        <v>722</v>
      </c>
      <c r="E1083" s="472">
        <v>2</v>
      </c>
      <c r="F1083" s="99" t="s">
        <v>721</v>
      </c>
      <c r="G1083" s="476" t="s">
        <v>849</v>
      </c>
      <c r="H1083" s="99">
        <f>'Справка 7'!D89</f>
        <v>187987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39">
        <f t="shared" si="62"/>
        <v>44469</v>
      </c>
      <c r="D1084" s="99" t="s">
        <v>724</v>
      </c>
      <c r="E1084" s="472">
        <v>2</v>
      </c>
      <c r="F1084" s="99" t="s">
        <v>723</v>
      </c>
      <c r="G1084" s="476" t="s">
        <v>849</v>
      </c>
      <c r="H1084" s="99">
        <f>'Справка 7'!D90</f>
        <v>648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39">
        <f t="shared" si="62"/>
        <v>44469</v>
      </c>
      <c r="D1085" s="99" t="s">
        <v>726</v>
      </c>
      <c r="E1085" s="472">
        <v>2</v>
      </c>
      <c r="F1085" s="99" t="s">
        <v>725</v>
      </c>
      <c r="G1085" s="476" t="s">
        <v>849</v>
      </c>
      <c r="H1085" s="99">
        <f>'Справка 7'!D91</f>
        <v>15075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39">
        <f t="shared" si="62"/>
        <v>44469</v>
      </c>
      <c r="D1086" s="99" t="s">
        <v>728</v>
      </c>
      <c r="E1086" s="472">
        <v>2</v>
      </c>
      <c r="F1086" s="99" t="s">
        <v>727</v>
      </c>
      <c r="G1086" s="476" t="s">
        <v>849</v>
      </c>
      <c r="H1086" s="99">
        <f>'Справка 7'!D92</f>
        <v>8006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39">
        <f t="shared" si="62"/>
        <v>44469</v>
      </c>
      <c r="D1087" s="99" t="s">
        <v>730</v>
      </c>
      <c r="E1087" s="472">
        <v>2</v>
      </c>
      <c r="F1087" s="99" t="s">
        <v>729</v>
      </c>
      <c r="G1087" s="476" t="s">
        <v>849</v>
      </c>
      <c r="H1087" s="99">
        <f>'Справка 7'!D93</f>
        <v>83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39">
        <f t="shared" si="62"/>
        <v>44469</v>
      </c>
      <c r="D1088" s="99" t="s">
        <v>731</v>
      </c>
      <c r="E1088" s="472">
        <v>2</v>
      </c>
      <c r="F1088" s="99" t="s">
        <v>637</v>
      </c>
      <c r="G1088" s="476" t="s">
        <v>849</v>
      </c>
      <c r="H1088" s="99">
        <f>'Справка 7'!D94</f>
        <v>6342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39">
        <f t="shared" si="62"/>
        <v>44469</v>
      </c>
      <c r="D1089" s="99" t="s">
        <v>732</v>
      </c>
      <c r="E1089" s="472">
        <v>2</v>
      </c>
      <c r="F1089" s="99" t="s">
        <v>641</v>
      </c>
      <c r="G1089" s="476" t="s">
        <v>849</v>
      </c>
      <c r="H1089" s="99">
        <f>'Справка 7'!D95</f>
        <v>1581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39">
        <f t="shared" si="62"/>
        <v>44469</v>
      </c>
      <c r="D1090" s="99" t="s">
        <v>734</v>
      </c>
      <c r="E1090" s="472">
        <v>2</v>
      </c>
      <c r="F1090" s="99" t="s">
        <v>733</v>
      </c>
      <c r="G1090" s="476" t="s">
        <v>849</v>
      </c>
      <c r="H1090" s="99">
        <f>'Справка 7'!D96</f>
        <v>3201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39">
        <f t="shared" si="62"/>
        <v>44469</v>
      </c>
      <c r="D1091" s="99" t="s">
        <v>736</v>
      </c>
      <c r="E1091" s="472">
        <v>2</v>
      </c>
      <c r="F1091" s="99" t="s">
        <v>735</v>
      </c>
      <c r="G1091" s="476" t="s">
        <v>849</v>
      </c>
      <c r="H1091" s="99">
        <f>'Справка 7'!D97</f>
        <v>61232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39">
        <f t="shared" si="62"/>
        <v>44469</v>
      </c>
      <c r="D1092" s="99" t="s">
        <v>738</v>
      </c>
      <c r="E1092" s="472">
        <v>2</v>
      </c>
      <c r="F1092" s="99" t="s">
        <v>691</v>
      </c>
      <c r="G1092" s="476" t="s">
        <v>849</v>
      </c>
      <c r="H1092" s="99">
        <f>'Справка 7'!D98</f>
        <v>492397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39">
        <f t="shared" si="62"/>
        <v>44469</v>
      </c>
      <c r="D1093" s="99" t="s">
        <v>740</v>
      </c>
      <c r="E1093" s="472">
        <v>2</v>
      </c>
      <c r="F1093" s="99" t="s">
        <v>739</v>
      </c>
      <c r="G1093" s="476" t="s">
        <v>849</v>
      </c>
      <c r="H1093" s="99">
        <f>'Справка 7'!D99</f>
        <v>492397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39">
        <f t="shared" si="62"/>
        <v>44469</v>
      </c>
      <c r="D1094" s="99" t="s">
        <v>663</v>
      </c>
      <c r="E1094" s="472">
        <v>3</v>
      </c>
      <c r="F1094" s="99" t="s">
        <v>662</v>
      </c>
      <c r="G1094" s="476" t="s">
        <v>849</v>
      </c>
      <c r="H1094" s="99">
        <f>'Справка 7'!E54</f>
        <v>8882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39">
        <f t="shared" si="62"/>
        <v>44469</v>
      </c>
      <c r="D1095" s="99" t="s">
        <v>665</v>
      </c>
      <c r="E1095" s="472">
        <v>3</v>
      </c>
      <c r="F1095" s="99" t="s">
        <v>664</v>
      </c>
      <c r="G1095" s="476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39">
        <f t="shared" si="62"/>
        <v>44469</v>
      </c>
      <c r="D1096" s="99" t="s">
        <v>667</v>
      </c>
      <c r="E1096" s="472">
        <v>3</v>
      </c>
      <c r="F1096" s="99" t="s">
        <v>666</v>
      </c>
      <c r="G1096" s="476" t="s">
        <v>849</v>
      </c>
      <c r="H1096" s="99">
        <f>'Справка 7'!E56</f>
        <v>8882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39">
        <f t="shared" si="62"/>
        <v>44469</v>
      </c>
      <c r="D1097" s="99" t="s">
        <v>668</v>
      </c>
      <c r="E1097" s="472">
        <v>3</v>
      </c>
      <c r="F1097" s="99" t="s">
        <v>651</v>
      </c>
      <c r="G1097" s="476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39">
        <f t="shared" si="62"/>
        <v>44469</v>
      </c>
      <c r="D1098" s="99" t="s">
        <v>670</v>
      </c>
      <c r="E1098" s="472">
        <v>3</v>
      </c>
      <c r="F1098" s="99" t="s">
        <v>669</v>
      </c>
      <c r="G1098" s="476" t="s">
        <v>849</v>
      </c>
      <c r="H1098" s="99">
        <f>'Справка 7'!E58</f>
        <v>34797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39">
        <f t="shared" si="62"/>
        <v>44469</v>
      </c>
      <c r="D1099" s="99" t="s">
        <v>672</v>
      </c>
      <c r="E1099" s="472">
        <v>3</v>
      </c>
      <c r="F1099" s="99" t="s">
        <v>671</v>
      </c>
      <c r="G1099" s="476" t="s">
        <v>849</v>
      </c>
      <c r="H1099" s="99">
        <f>'Справка 7'!E59</f>
        <v>34797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39">
        <f t="shared" si="62"/>
        <v>44469</v>
      </c>
      <c r="D1100" s="99" t="s">
        <v>674</v>
      </c>
      <c r="E1100" s="472">
        <v>3</v>
      </c>
      <c r="F1100" s="99" t="s">
        <v>673</v>
      </c>
      <c r="G1100" s="476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39">
        <f t="shared" si="62"/>
        <v>44469</v>
      </c>
      <c r="D1101" s="99" t="s">
        <v>676</v>
      </c>
      <c r="E1101" s="472">
        <v>3</v>
      </c>
      <c r="F1101" s="99" t="s">
        <v>675</v>
      </c>
      <c r="G1101" s="476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39">
        <f t="shared" si="62"/>
        <v>44469</v>
      </c>
      <c r="D1102" s="99" t="s">
        <v>677</v>
      </c>
      <c r="E1102" s="472">
        <v>3</v>
      </c>
      <c r="F1102" s="99" t="s">
        <v>673</v>
      </c>
      <c r="G1102" s="476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39">
        <f t="shared" si="62"/>
        <v>44469</v>
      </c>
      <c r="D1103" s="99" t="s">
        <v>678</v>
      </c>
      <c r="E1103" s="472">
        <v>3</v>
      </c>
      <c r="F1103" s="99" t="s">
        <v>139</v>
      </c>
      <c r="G1103" s="47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39">
        <f t="shared" ref="C1104:C1167" si="65">endDate</f>
        <v>44469</v>
      </c>
      <c r="D1104" s="99" t="s">
        <v>679</v>
      </c>
      <c r="E1104" s="472">
        <v>3</v>
      </c>
      <c r="F1104" s="99" t="s">
        <v>142</v>
      </c>
      <c r="G1104" s="476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39">
        <f t="shared" si="65"/>
        <v>44469</v>
      </c>
      <c r="D1105" s="99" t="s">
        <v>681</v>
      </c>
      <c r="E1105" s="472">
        <v>3</v>
      </c>
      <c r="F1105" s="99" t="s">
        <v>680</v>
      </c>
      <c r="G1105" s="476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39">
        <f t="shared" si="65"/>
        <v>44469</v>
      </c>
      <c r="D1106" s="99" t="s">
        <v>683</v>
      </c>
      <c r="E1106" s="472">
        <v>3</v>
      </c>
      <c r="F1106" s="99" t="s">
        <v>682</v>
      </c>
      <c r="G1106" s="476" t="s">
        <v>849</v>
      </c>
      <c r="H1106" s="99">
        <f>'Справка 7'!E66</f>
        <v>72986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39">
        <f t="shared" si="65"/>
        <v>44469</v>
      </c>
      <c r="D1107" s="99" t="s">
        <v>685</v>
      </c>
      <c r="E1107" s="472">
        <v>3</v>
      </c>
      <c r="F1107" s="99" t="s">
        <v>684</v>
      </c>
      <c r="G1107" s="476" t="s">
        <v>849</v>
      </c>
      <c r="H1107" s="99">
        <f>'Справка 7'!E67</f>
        <v>45250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39">
        <f t="shared" si="65"/>
        <v>44469</v>
      </c>
      <c r="D1108" s="99" t="s">
        <v>687</v>
      </c>
      <c r="E1108" s="472">
        <v>3</v>
      </c>
      <c r="F1108" s="99" t="s">
        <v>661</v>
      </c>
      <c r="G1108" s="476" t="s">
        <v>849</v>
      </c>
      <c r="H1108" s="99">
        <f>'Справка 7'!E68</f>
        <v>116665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39">
        <f t="shared" si="65"/>
        <v>44469</v>
      </c>
      <c r="D1109" s="99" t="s">
        <v>690</v>
      </c>
      <c r="E1109" s="472">
        <v>3</v>
      </c>
      <c r="F1109" s="99" t="s">
        <v>850</v>
      </c>
      <c r="G1109" s="476" t="s">
        <v>849</v>
      </c>
      <c r="H1109" s="99">
        <f>'Справка 7'!E70</f>
        <v>7746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39">
        <f t="shared" si="65"/>
        <v>44469</v>
      </c>
      <c r="D1110" s="99" t="s">
        <v>692</v>
      </c>
      <c r="E1110" s="472">
        <v>3</v>
      </c>
      <c r="F1110" s="99" t="s">
        <v>662</v>
      </c>
      <c r="G1110" s="476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39">
        <f t="shared" si="65"/>
        <v>44469</v>
      </c>
      <c r="D1111" s="99" t="s">
        <v>694</v>
      </c>
      <c r="E1111" s="472">
        <v>3</v>
      </c>
      <c r="F1111" s="99" t="s">
        <v>693</v>
      </c>
      <c r="G1111" s="476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39">
        <f t="shared" si="65"/>
        <v>44469</v>
      </c>
      <c r="D1112" s="99" t="s">
        <v>696</v>
      </c>
      <c r="E1112" s="472">
        <v>3</v>
      </c>
      <c r="F1112" s="99" t="s">
        <v>695</v>
      </c>
      <c r="G1112" s="476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39">
        <f t="shared" si="65"/>
        <v>44469</v>
      </c>
      <c r="D1113" s="99" t="s">
        <v>698</v>
      </c>
      <c r="E1113" s="472">
        <v>3</v>
      </c>
      <c r="F1113" s="99" t="s">
        <v>697</v>
      </c>
      <c r="G1113" s="476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39">
        <f t="shared" si="65"/>
        <v>44469</v>
      </c>
      <c r="D1114" s="99" t="s">
        <v>699</v>
      </c>
      <c r="E1114" s="472">
        <v>3</v>
      </c>
      <c r="F1114" s="99" t="s">
        <v>669</v>
      </c>
      <c r="G1114" s="476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39">
        <f t="shared" si="65"/>
        <v>44469</v>
      </c>
      <c r="D1115" s="99" t="s">
        <v>701</v>
      </c>
      <c r="E1115" s="472">
        <v>3</v>
      </c>
      <c r="F1115" s="99" t="s">
        <v>700</v>
      </c>
      <c r="G1115" s="476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39">
        <f t="shared" si="65"/>
        <v>44469</v>
      </c>
      <c r="D1116" s="99" t="s">
        <v>703</v>
      </c>
      <c r="E1116" s="472">
        <v>3</v>
      </c>
      <c r="F1116" s="99" t="s">
        <v>702</v>
      </c>
      <c r="G1116" s="476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39">
        <f t="shared" si="65"/>
        <v>44469</v>
      </c>
      <c r="D1117" s="99" t="s">
        <v>705</v>
      </c>
      <c r="E1117" s="472">
        <v>3</v>
      </c>
      <c r="F1117" s="99" t="s">
        <v>704</v>
      </c>
      <c r="G1117" s="476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39">
        <f t="shared" si="65"/>
        <v>44469</v>
      </c>
      <c r="D1118" s="99" t="s">
        <v>706</v>
      </c>
      <c r="E1118" s="472">
        <v>3</v>
      </c>
      <c r="F1118" s="99" t="s">
        <v>673</v>
      </c>
      <c r="G1118" s="476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39">
        <f t="shared" si="65"/>
        <v>44469</v>
      </c>
      <c r="D1119" s="99" t="s">
        <v>708</v>
      </c>
      <c r="E1119" s="472">
        <v>3</v>
      </c>
      <c r="F1119" s="99" t="s">
        <v>707</v>
      </c>
      <c r="G1119" s="476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39">
        <f t="shared" si="65"/>
        <v>44469</v>
      </c>
      <c r="D1120" s="99" t="s">
        <v>710</v>
      </c>
      <c r="E1120" s="472">
        <v>3</v>
      </c>
      <c r="F1120" s="99" t="s">
        <v>709</v>
      </c>
      <c r="G1120" s="476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39">
        <f t="shared" si="65"/>
        <v>44469</v>
      </c>
      <c r="D1121" s="99" t="s">
        <v>712</v>
      </c>
      <c r="E1121" s="472">
        <v>3</v>
      </c>
      <c r="F1121" s="99" t="s">
        <v>711</v>
      </c>
      <c r="G1121" s="476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39">
        <f t="shared" si="65"/>
        <v>44469</v>
      </c>
      <c r="D1122" s="99" t="s">
        <v>714</v>
      </c>
      <c r="E1122" s="472">
        <v>3</v>
      </c>
      <c r="F1122" s="99" t="s">
        <v>713</v>
      </c>
      <c r="G1122" s="476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39">
        <f t="shared" si="65"/>
        <v>44469</v>
      </c>
      <c r="D1123" s="99" t="s">
        <v>716</v>
      </c>
      <c r="E1123" s="472">
        <v>3</v>
      </c>
      <c r="F1123" s="99" t="s">
        <v>715</v>
      </c>
      <c r="G1123" s="476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39">
        <f t="shared" si="65"/>
        <v>44469</v>
      </c>
      <c r="D1124" s="99" t="s">
        <v>718</v>
      </c>
      <c r="E1124" s="472">
        <v>3</v>
      </c>
      <c r="F1124" s="99" t="s">
        <v>717</v>
      </c>
      <c r="G1124" s="476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39">
        <f t="shared" si="65"/>
        <v>44469</v>
      </c>
      <c r="D1125" s="99" t="s">
        <v>720</v>
      </c>
      <c r="E1125" s="472">
        <v>3</v>
      </c>
      <c r="F1125" s="99" t="s">
        <v>719</v>
      </c>
      <c r="G1125" s="476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39">
        <f t="shared" si="65"/>
        <v>44469</v>
      </c>
      <c r="D1126" s="99" t="s">
        <v>722</v>
      </c>
      <c r="E1126" s="472">
        <v>3</v>
      </c>
      <c r="F1126" s="99" t="s">
        <v>721</v>
      </c>
      <c r="G1126" s="476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39">
        <f t="shared" si="65"/>
        <v>44469</v>
      </c>
      <c r="D1127" s="99" t="s">
        <v>724</v>
      </c>
      <c r="E1127" s="472">
        <v>3</v>
      </c>
      <c r="F1127" s="99" t="s">
        <v>723</v>
      </c>
      <c r="G1127" s="476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39">
        <f t="shared" si="65"/>
        <v>44469</v>
      </c>
      <c r="D1128" s="99" t="s">
        <v>726</v>
      </c>
      <c r="E1128" s="472">
        <v>3</v>
      </c>
      <c r="F1128" s="99" t="s">
        <v>725</v>
      </c>
      <c r="G1128" s="476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39">
        <f t="shared" si="65"/>
        <v>44469</v>
      </c>
      <c r="D1129" s="99" t="s">
        <v>728</v>
      </c>
      <c r="E1129" s="472">
        <v>3</v>
      </c>
      <c r="F1129" s="99" t="s">
        <v>727</v>
      </c>
      <c r="G1129" s="476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39">
        <f t="shared" si="65"/>
        <v>44469</v>
      </c>
      <c r="D1130" s="99" t="s">
        <v>730</v>
      </c>
      <c r="E1130" s="472">
        <v>3</v>
      </c>
      <c r="F1130" s="99" t="s">
        <v>729</v>
      </c>
      <c r="G1130" s="476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39">
        <f t="shared" si="65"/>
        <v>44469</v>
      </c>
      <c r="D1131" s="99" t="s">
        <v>731</v>
      </c>
      <c r="E1131" s="472">
        <v>3</v>
      </c>
      <c r="F1131" s="99" t="s">
        <v>637</v>
      </c>
      <c r="G1131" s="476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39">
        <f t="shared" si="65"/>
        <v>44469</v>
      </c>
      <c r="D1132" s="99" t="s">
        <v>732</v>
      </c>
      <c r="E1132" s="472">
        <v>3</v>
      </c>
      <c r="F1132" s="99" t="s">
        <v>641</v>
      </c>
      <c r="G1132" s="476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39">
        <f t="shared" si="65"/>
        <v>44469</v>
      </c>
      <c r="D1133" s="99" t="s">
        <v>734</v>
      </c>
      <c r="E1133" s="472">
        <v>3</v>
      </c>
      <c r="F1133" s="99" t="s">
        <v>733</v>
      </c>
      <c r="G1133" s="476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39">
        <f t="shared" si="65"/>
        <v>44469</v>
      </c>
      <c r="D1134" s="99" t="s">
        <v>736</v>
      </c>
      <c r="E1134" s="472">
        <v>3</v>
      </c>
      <c r="F1134" s="99" t="s">
        <v>735</v>
      </c>
      <c r="G1134" s="476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39">
        <f t="shared" si="65"/>
        <v>44469</v>
      </c>
      <c r="D1135" s="99" t="s">
        <v>738</v>
      </c>
      <c r="E1135" s="472">
        <v>3</v>
      </c>
      <c r="F1135" s="99" t="s">
        <v>691</v>
      </c>
      <c r="G1135" s="476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39">
        <f t="shared" si="65"/>
        <v>44469</v>
      </c>
      <c r="D1136" s="99" t="s">
        <v>740</v>
      </c>
      <c r="E1136" s="472">
        <v>3</v>
      </c>
      <c r="F1136" s="99" t="s">
        <v>739</v>
      </c>
      <c r="G1136" s="476" t="s">
        <v>849</v>
      </c>
      <c r="H1136" s="99">
        <f>'Справка 7'!E99</f>
        <v>124411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39">
        <f t="shared" si="65"/>
        <v>44469</v>
      </c>
      <c r="D1137" s="99" t="s">
        <v>663</v>
      </c>
      <c r="E1137" s="472">
        <v>4</v>
      </c>
      <c r="F1137" s="99" t="s">
        <v>662</v>
      </c>
      <c r="G1137" s="476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39">
        <f t="shared" si="65"/>
        <v>44469</v>
      </c>
      <c r="D1138" s="99" t="s">
        <v>665</v>
      </c>
      <c r="E1138" s="472">
        <v>4</v>
      </c>
      <c r="F1138" s="99" t="s">
        <v>664</v>
      </c>
      <c r="G1138" s="476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39">
        <f t="shared" si="65"/>
        <v>44469</v>
      </c>
      <c r="D1139" s="99" t="s">
        <v>667</v>
      </c>
      <c r="E1139" s="472">
        <v>4</v>
      </c>
      <c r="F1139" s="99" t="s">
        <v>666</v>
      </c>
      <c r="G1139" s="476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39">
        <f t="shared" si="65"/>
        <v>44469</v>
      </c>
      <c r="D1140" s="99" t="s">
        <v>668</v>
      </c>
      <c r="E1140" s="472">
        <v>4</v>
      </c>
      <c r="F1140" s="99" t="s">
        <v>651</v>
      </c>
      <c r="G1140" s="476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39">
        <f t="shared" si="65"/>
        <v>44469</v>
      </c>
      <c r="D1141" s="99" t="s">
        <v>670</v>
      </c>
      <c r="E1141" s="472">
        <v>4</v>
      </c>
      <c r="F1141" s="99" t="s">
        <v>669</v>
      </c>
      <c r="G1141" s="476" t="s">
        <v>849</v>
      </c>
      <c r="H1141" s="99">
        <f>'Справка 7'!F58</f>
        <v>55437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39">
        <f t="shared" si="65"/>
        <v>44469</v>
      </c>
      <c r="D1142" s="99" t="s">
        <v>672</v>
      </c>
      <c r="E1142" s="472">
        <v>4</v>
      </c>
      <c r="F1142" s="99" t="s">
        <v>671</v>
      </c>
      <c r="G1142" s="476" t="s">
        <v>849</v>
      </c>
      <c r="H1142" s="99">
        <f>'Справка 7'!F59</f>
        <v>55437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39">
        <f t="shared" si="65"/>
        <v>44469</v>
      </c>
      <c r="D1143" s="99" t="s">
        <v>674</v>
      </c>
      <c r="E1143" s="472">
        <v>4</v>
      </c>
      <c r="F1143" s="99" t="s">
        <v>673</v>
      </c>
      <c r="G1143" s="476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39">
        <f t="shared" si="65"/>
        <v>44469</v>
      </c>
      <c r="D1144" s="99" t="s">
        <v>676</v>
      </c>
      <c r="E1144" s="472">
        <v>4</v>
      </c>
      <c r="F1144" s="99" t="s">
        <v>675</v>
      </c>
      <c r="G1144" s="476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39">
        <f t="shared" si="65"/>
        <v>44469</v>
      </c>
      <c r="D1145" s="99" t="s">
        <v>677</v>
      </c>
      <c r="E1145" s="472">
        <v>4</v>
      </c>
      <c r="F1145" s="99" t="s">
        <v>673</v>
      </c>
      <c r="G1145" s="476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39">
        <f t="shared" si="65"/>
        <v>44469</v>
      </c>
      <c r="D1146" s="99" t="s">
        <v>678</v>
      </c>
      <c r="E1146" s="472">
        <v>4</v>
      </c>
      <c r="F1146" s="99" t="s">
        <v>139</v>
      </c>
      <c r="G1146" s="476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39">
        <f t="shared" si="65"/>
        <v>44469</v>
      </c>
      <c r="D1147" s="99" t="s">
        <v>679</v>
      </c>
      <c r="E1147" s="472">
        <v>4</v>
      </c>
      <c r="F1147" s="99" t="s">
        <v>142</v>
      </c>
      <c r="G1147" s="476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39">
        <f t="shared" si="65"/>
        <v>44469</v>
      </c>
      <c r="D1148" s="99" t="s">
        <v>681</v>
      </c>
      <c r="E1148" s="472">
        <v>4</v>
      </c>
      <c r="F1148" s="99" t="s">
        <v>680</v>
      </c>
      <c r="G1148" s="476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39">
        <f t="shared" si="65"/>
        <v>44469</v>
      </c>
      <c r="D1149" s="99" t="s">
        <v>683</v>
      </c>
      <c r="E1149" s="472">
        <v>4</v>
      </c>
      <c r="F1149" s="99" t="s">
        <v>682</v>
      </c>
      <c r="G1149" s="476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39">
        <f t="shared" si="65"/>
        <v>44469</v>
      </c>
      <c r="D1150" s="99" t="s">
        <v>685</v>
      </c>
      <c r="E1150" s="472">
        <v>4</v>
      </c>
      <c r="F1150" s="99" t="s">
        <v>684</v>
      </c>
      <c r="G1150" s="476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39">
        <f t="shared" si="65"/>
        <v>44469</v>
      </c>
      <c r="D1151" s="99" t="s">
        <v>687</v>
      </c>
      <c r="E1151" s="472">
        <v>4</v>
      </c>
      <c r="F1151" s="99" t="s">
        <v>661</v>
      </c>
      <c r="G1151" s="476" t="s">
        <v>849</v>
      </c>
      <c r="H1151" s="99">
        <f>'Справка 7'!F68</f>
        <v>55437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39">
        <f t="shared" si="65"/>
        <v>44469</v>
      </c>
      <c r="D1152" s="99" t="s">
        <v>690</v>
      </c>
      <c r="E1152" s="472">
        <v>4</v>
      </c>
      <c r="F1152" s="99" t="s">
        <v>850</v>
      </c>
      <c r="G1152" s="476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39">
        <f t="shared" si="65"/>
        <v>44469</v>
      </c>
      <c r="D1153" s="99" t="s">
        <v>692</v>
      </c>
      <c r="E1153" s="472">
        <v>4</v>
      </c>
      <c r="F1153" s="99" t="s">
        <v>662</v>
      </c>
      <c r="G1153" s="476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39">
        <f t="shared" si="65"/>
        <v>44469</v>
      </c>
      <c r="D1154" s="99" t="s">
        <v>694</v>
      </c>
      <c r="E1154" s="472">
        <v>4</v>
      </c>
      <c r="F1154" s="99" t="s">
        <v>693</v>
      </c>
      <c r="G1154" s="476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39">
        <f t="shared" si="65"/>
        <v>44469</v>
      </c>
      <c r="D1155" s="99" t="s">
        <v>696</v>
      </c>
      <c r="E1155" s="472">
        <v>4</v>
      </c>
      <c r="F1155" s="99" t="s">
        <v>695</v>
      </c>
      <c r="G1155" s="476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39">
        <f t="shared" si="65"/>
        <v>44469</v>
      </c>
      <c r="D1156" s="99" t="s">
        <v>698</v>
      </c>
      <c r="E1156" s="472">
        <v>4</v>
      </c>
      <c r="F1156" s="99" t="s">
        <v>697</v>
      </c>
      <c r="G1156" s="476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39">
        <f t="shared" si="65"/>
        <v>44469</v>
      </c>
      <c r="D1157" s="99" t="s">
        <v>699</v>
      </c>
      <c r="E1157" s="472">
        <v>4</v>
      </c>
      <c r="F1157" s="99" t="s">
        <v>669</v>
      </c>
      <c r="G1157" s="476" t="s">
        <v>849</v>
      </c>
      <c r="H1157" s="99">
        <f>'Справка 7'!F77</f>
        <v>286721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39">
        <f t="shared" si="65"/>
        <v>44469</v>
      </c>
      <c r="D1158" s="99" t="s">
        <v>701</v>
      </c>
      <c r="E1158" s="472">
        <v>4</v>
      </c>
      <c r="F1158" s="99" t="s">
        <v>700</v>
      </c>
      <c r="G1158" s="476" t="s">
        <v>849</v>
      </c>
      <c r="H1158" s="99">
        <f>'Справка 7'!F78</f>
        <v>286721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39">
        <f t="shared" si="65"/>
        <v>44469</v>
      </c>
      <c r="D1159" s="99" t="s">
        <v>703</v>
      </c>
      <c r="E1159" s="472">
        <v>4</v>
      </c>
      <c r="F1159" s="99" t="s">
        <v>702</v>
      </c>
      <c r="G1159" s="476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39">
        <f t="shared" si="65"/>
        <v>44469</v>
      </c>
      <c r="D1160" s="99" t="s">
        <v>705</v>
      </c>
      <c r="E1160" s="472">
        <v>4</v>
      </c>
      <c r="F1160" s="99" t="s">
        <v>704</v>
      </c>
      <c r="G1160" s="476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39">
        <f t="shared" si="65"/>
        <v>44469</v>
      </c>
      <c r="D1161" s="99" t="s">
        <v>706</v>
      </c>
      <c r="E1161" s="472">
        <v>4</v>
      </c>
      <c r="F1161" s="99" t="s">
        <v>673</v>
      </c>
      <c r="G1161" s="476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39">
        <f t="shared" si="65"/>
        <v>44469</v>
      </c>
      <c r="D1162" s="99" t="s">
        <v>708</v>
      </c>
      <c r="E1162" s="472">
        <v>4</v>
      </c>
      <c r="F1162" s="99" t="s">
        <v>707</v>
      </c>
      <c r="G1162" s="476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39">
        <f t="shared" si="65"/>
        <v>44469</v>
      </c>
      <c r="D1163" s="99" t="s">
        <v>710</v>
      </c>
      <c r="E1163" s="472">
        <v>4</v>
      </c>
      <c r="F1163" s="99" t="s">
        <v>709</v>
      </c>
      <c r="G1163" s="476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39">
        <f t="shared" si="65"/>
        <v>44469</v>
      </c>
      <c r="D1164" s="99" t="s">
        <v>712</v>
      </c>
      <c r="E1164" s="472">
        <v>4</v>
      </c>
      <c r="F1164" s="99" t="s">
        <v>711</v>
      </c>
      <c r="G1164" s="476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39">
        <f t="shared" si="65"/>
        <v>44469</v>
      </c>
      <c r="D1165" s="99" t="s">
        <v>714</v>
      </c>
      <c r="E1165" s="472">
        <v>4</v>
      </c>
      <c r="F1165" s="99" t="s">
        <v>713</v>
      </c>
      <c r="G1165" s="476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39">
        <f t="shared" si="65"/>
        <v>44469</v>
      </c>
      <c r="D1166" s="99" t="s">
        <v>716</v>
      </c>
      <c r="E1166" s="472">
        <v>4</v>
      </c>
      <c r="F1166" s="99" t="s">
        <v>715</v>
      </c>
      <c r="G1166" s="476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39">
        <f t="shared" si="65"/>
        <v>44469</v>
      </c>
      <c r="D1167" s="99" t="s">
        <v>718</v>
      </c>
      <c r="E1167" s="472">
        <v>4</v>
      </c>
      <c r="F1167" s="99" t="s">
        <v>717</v>
      </c>
      <c r="G1167" s="47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39">
        <f t="shared" ref="C1168:C1195" si="68">endDate</f>
        <v>44469</v>
      </c>
      <c r="D1168" s="99" t="s">
        <v>720</v>
      </c>
      <c r="E1168" s="472">
        <v>4</v>
      </c>
      <c r="F1168" s="99" t="s">
        <v>719</v>
      </c>
      <c r="G1168" s="476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39">
        <f t="shared" si="68"/>
        <v>44469</v>
      </c>
      <c r="D1169" s="99" t="s">
        <v>722</v>
      </c>
      <c r="E1169" s="472">
        <v>4</v>
      </c>
      <c r="F1169" s="99" t="s">
        <v>721</v>
      </c>
      <c r="G1169" s="476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39">
        <f t="shared" si="68"/>
        <v>44469</v>
      </c>
      <c r="D1170" s="99" t="s">
        <v>724</v>
      </c>
      <c r="E1170" s="472">
        <v>4</v>
      </c>
      <c r="F1170" s="99" t="s">
        <v>723</v>
      </c>
      <c r="G1170" s="476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39">
        <f t="shared" si="68"/>
        <v>44469</v>
      </c>
      <c r="D1171" s="99" t="s">
        <v>726</v>
      </c>
      <c r="E1171" s="472">
        <v>4</v>
      </c>
      <c r="F1171" s="99" t="s">
        <v>725</v>
      </c>
      <c r="G1171" s="476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39">
        <f t="shared" si="68"/>
        <v>44469</v>
      </c>
      <c r="D1172" s="99" t="s">
        <v>728</v>
      </c>
      <c r="E1172" s="472">
        <v>4</v>
      </c>
      <c r="F1172" s="99" t="s">
        <v>727</v>
      </c>
      <c r="G1172" s="476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39">
        <f t="shared" si="68"/>
        <v>44469</v>
      </c>
      <c r="D1173" s="99" t="s">
        <v>730</v>
      </c>
      <c r="E1173" s="472">
        <v>4</v>
      </c>
      <c r="F1173" s="99" t="s">
        <v>729</v>
      </c>
      <c r="G1173" s="476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39">
        <f t="shared" si="68"/>
        <v>44469</v>
      </c>
      <c r="D1174" s="99" t="s">
        <v>731</v>
      </c>
      <c r="E1174" s="472">
        <v>4</v>
      </c>
      <c r="F1174" s="99" t="s">
        <v>637</v>
      </c>
      <c r="G1174" s="476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39">
        <f t="shared" si="68"/>
        <v>44469</v>
      </c>
      <c r="D1175" s="99" t="s">
        <v>732</v>
      </c>
      <c r="E1175" s="472">
        <v>4</v>
      </c>
      <c r="F1175" s="99" t="s">
        <v>641</v>
      </c>
      <c r="G1175" s="476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39">
        <f t="shared" si="68"/>
        <v>44469</v>
      </c>
      <c r="D1176" s="99" t="s">
        <v>734</v>
      </c>
      <c r="E1176" s="472">
        <v>4</v>
      </c>
      <c r="F1176" s="99" t="s">
        <v>733</v>
      </c>
      <c r="G1176" s="476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39">
        <f t="shared" si="68"/>
        <v>44469</v>
      </c>
      <c r="D1177" s="99" t="s">
        <v>736</v>
      </c>
      <c r="E1177" s="472">
        <v>4</v>
      </c>
      <c r="F1177" s="99" t="s">
        <v>735</v>
      </c>
      <c r="G1177" s="476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39">
        <f t="shared" si="68"/>
        <v>44469</v>
      </c>
      <c r="D1178" s="99" t="s">
        <v>738</v>
      </c>
      <c r="E1178" s="472">
        <v>4</v>
      </c>
      <c r="F1178" s="99" t="s">
        <v>691</v>
      </c>
      <c r="G1178" s="476" t="s">
        <v>849</v>
      </c>
      <c r="H1178" s="99">
        <f>'Справка 7'!F98</f>
        <v>286721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39">
        <f t="shared" si="68"/>
        <v>44469</v>
      </c>
      <c r="D1179" s="99" t="s">
        <v>740</v>
      </c>
      <c r="E1179" s="472">
        <v>4</v>
      </c>
      <c r="F1179" s="99" t="s">
        <v>739</v>
      </c>
      <c r="G1179" s="476" t="s">
        <v>849</v>
      </c>
      <c r="H1179" s="99">
        <f>'Справка 7'!F99</f>
        <v>342158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39">
        <f t="shared" si="68"/>
        <v>44469</v>
      </c>
      <c r="D1180" s="99" t="s">
        <v>747</v>
      </c>
      <c r="E1180" s="472">
        <v>1</v>
      </c>
      <c r="F1180" s="99" t="s">
        <v>746</v>
      </c>
      <c r="G1180" s="99" t="s">
        <v>851</v>
      </c>
      <c r="H1180" s="474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39">
        <f t="shared" si="68"/>
        <v>44469</v>
      </c>
      <c r="D1181" s="99" t="s">
        <v>749</v>
      </c>
      <c r="E1181" s="472">
        <v>1</v>
      </c>
      <c r="F1181" s="99" t="s">
        <v>748</v>
      </c>
      <c r="G1181" s="99" t="s">
        <v>851</v>
      </c>
      <c r="H1181" s="474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39">
        <f t="shared" si="68"/>
        <v>44469</v>
      </c>
      <c r="D1182" s="99" t="s">
        <v>751</v>
      </c>
      <c r="E1182" s="472">
        <v>1</v>
      </c>
      <c r="F1182" s="99" t="s">
        <v>750</v>
      </c>
      <c r="G1182" s="99" t="s">
        <v>851</v>
      </c>
      <c r="H1182" s="474">
        <f>'Справка 7'!C106</f>
        <v>1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39">
        <f t="shared" si="68"/>
        <v>44469</v>
      </c>
      <c r="D1183" s="99" t="s">
        <v>753</v>
      </c>
      <c r="E1183" s="472">
        <v>1</v>
      </c>
      <c r="F1183" s="99" t="s">
        <v>752</v>
      </c>
      <c r="G1183" s="99" t="s">
        <v>851</v>
      </c>
      <c r="H1183" s="474">
        <f>'Справка 7'!C107</f>
        <v>1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39">
        <f t="shared" si="68"/>
        <v>44469</v>
      </c>
      <c r="D1184" s="99" t="s">
        <v>747</v>
      </c>
      <c r="E1184" s="472">
        <v>2</v>
      </c>
      <c r="F1184" s="99" t="s">
        <v>746</v>
      </c>
      <c r="G1184" s="99" t="s">
        <v>851</v>
      </c>
      <c r="H1184" s="474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39">
        <f t="shared" si="68"/>
        <v>44469</v>
      </c>
      <c r="D1185" s="99" t="s">
        <v>749</v>
      </c>
      <c r="E1185" s="472">
        <v>2</v>
      </c>
      <c r="F1185" s="99" t="s">
        <v>748</v>
      </c>
      <c r="G1185" s="99" t="s">
        <v>851</v>
      </c>
      <c r="H1185" s="474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39">
        <f t="shared" si="68"/>
        <v>44469</v>
      </c>
      <c r="D1186" s="99" t="s">
        <v>751</v>
      </c>
      <c r="E1186" s="472">
        <v>2</v>
      </c>
      <c r="F1186" s="99" t="s">
        <v>750</v>
      </c>
      <c r="G1186" s="99" t="s">
        <v>851</v>
      </c>
      <c r="H1186" s="474">
        <f>'Справка 7'!D106</f>
        <v>244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39">
        <f t="shared" si="68"/>
        <v>44469</v>
      </c>
      <c r="D1187" s="99" t="s">
        <v>753</v>
      </c>
      <c r="E1187" s="472">
        <v>2</v>
      </c>
      <c r="F1187" s="99" t="s">
        <v>752</v>
      </c>
      <c r="G1187" s="99" t="s">
        <v>851</v>
      </c>
      <c r="H1187" s="474">
        <f>'Справка 7'!D107</f>
        <v>244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39">
        <f t="shared" si="68"/>
        <v>44469</v>
      </c>
      <c r="D1188" s="99" t="s">
        <v>747</v>
      </c>
      <c r="E1188" s="472">
        <v>3</v>
      </c>
      <c r="F1188" s="99" t="s">
        <v>746</v>
      </c>
      <c r="G1188" s="99" t="s">
        <v>851</v>
      </c>
      <c r="H1188" s="474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39">
        <f t="shared" si="68"/>
        <v>44469</v>
      </c>
      <c r="D1189" s="99" t="s">
        <v>749</v>
      </c>
      <c r="E1189" s="472">
        <v>3</v>
      </c>
      <c r="F1189" s="99" t="s">
        <v>748</v>
      </c>
      <c r="G1189" s="99" t="s">
        <v>851</v>
      </c>
      <c r="H1189" s="474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39">
        <f t="shared" si="68"/>
        <v>44469</v>
      </c>
      <c r="D1190" s="99" t="s">
        <v>751</v>
      </c>
      <c r="E1190" s="472">
        <v>3</v>
      </c>
      <c r="F1190" s="99" t="s">
        <v>750</v>
      </c>
      <c r="G1190" s="99" t="s">
        <v>851</v>
      </c>
      <c r="H1190" s="474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39">
        <f t="shared" si="68"/>
        <v>44469</v>
      </c>
      <c r="D1191" s="99" t="s">
        <v>753</v>
      </c>
      <c r="E1191" s="472">
        <v>3</v>
      </c>
      <c r="F1191" s="99" t="s">
        <v>752</v>
      </c>
      <c r="G1191" s="99" t="s">
        <v>851</v>
      </c>
      <c r="H1191" s="474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39">
        <f t="shared" si="68"/>
        <v>44469</v>
      </c>
      <c r="D1192" s="99" t="s">
        <v>747</v>
      </c>
      <c r="E1192" s="472">
        <v>4</v>
      </c>
      <c r="F1192" s="99" t="s">
        <v>746</v>
      </c>
      <c r="G1192" s="99" t="s">
        <v>851</v>
      </c>
      <c r="H1192" s="474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39">
        <f t="shared" si="68"/>
        <v>44469</v>
      </c>
      <c r="D1193" s="99" t="s">
        <v>749</v>
      </c>
      <c r="E1193" s="472">
        <v>4</v>
      </c>
      <c r="F1193" s="99" t="s">
        <v>748</v>
      </c>
      <c r="G1193" s="99" t="s">
        <v>851</v>
      </c>
      <c r="H1193" s="474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39">
        <f t="shared" si="68"/>
        <v>44469</v>
      </c>
      <c r="D1194" s="99" t="s">
        <v>751</v>
      </c>
      <c r="E1194" s="472">
        <v>4</v>
      </c>
      <c r="F1194" s="99" t="s">
        <v>750</v>
      </c>
      <c r="G1194" s="99" t="s">
        <v>851</v>
      </c>
      <c r="H1194" s="474">
        <f>'Справка 7'!F106</f>
        <v>245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39">
        <f t="shared" si="68"/>
        <v>44469</v>
      </c>
      <c r="D1195" s="99" t="s">
        <v>753</v>
      </c>
      <c r="E1195" s="472">
        <v>4</v>
      </c>
      <c r="F1195" s="99" t="s">
        <v>752</v>
      </c>
      <c r="G1195" s="99" t="s">
        <v>851</v>
      </c>
      <c r="H1195" s="474">
        <f>'Справка 7'!F107</f>
        <v>245</v>
      </c>
    </row>
    <row r="1196" spans="1:8" s="473" customFormat="1">
      <c r="C1196" s="538"/>
      <c r="F1196" s="477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39">
        <f t="shared" ref="C1197:C1228" si="71">endDate</f>
        <v>44469</v>
      </c>
      <c r="D1197" s="99" t="s">
        <v>763</v>
      </c>
      <c r="E1197" s="99">
        <v>1</v>
      </c>
      <c r="F1197" s="99" t="s">
        <v>762</v>
      </c>
      <c r="H1197" s="474">
        <f>'Справка 8.1 България'!C13</f>
        <v>8968255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39">
        <f t="shared" si="71"/>
        <v>44469</v>
      </c>
      <c r="D1198" s="99" t="s">
        <v>765</v>
      </c>
      <c r="E1198" s="99">
        <v>1</v>
      </c>
      <c r="F1198" s="99" t="s">
        <v>764</v>
      </c>
      <c r="H1198" s="474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39">
        <f t="shared" si="71"/>
        <v>44469</v>
      </c>
      <c r="D1199" s="99" t="s">
        <v>766</v>
      </c>
      <c r="E1199" s="99">
        <v>1</v>
      </c>
      <c r="F1199" s="99" t="s">
        <v>572</v>
      </c>
      <c r="H1199" s="474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39">
        <f t="shared" si="71"/>
        <v>44469</v>
      </c>
      <c r="D1200" s="99" t="s">
        <v>768</v>
      </c>
      <c r="E1200" s="99">
        <v>1</v>
      </c>
      <c r="F1200" s="99" t="s">
        <v>767</v>
      </c>
      <c r="H1200" s="474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39">
        <f t="shared" si="71"/>
        <v>44469</v>
      </c>
      <c r="D1201" s="99" t="s">
        <v>769</v>
      </c>
      <c r="E1201" s="99">
        <v>1</v>
      </c>
      <c r="F1201" s="99" t="s">
        <v>79</v>
      </c>
      <c r="H1201" s="474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39">
        <f t="shared" si="71"/>
        <v>44469</v>
      </c>
      <c r="D1202" s="99" t="s">
        <v>770</v>
      </c>
      <c r="E1202" s="99">
        <v>1</v>
      </c>
      <c r="F1202" s="99" t="s">
        <v>761</v>
      </c>
      <c r="H1202" s="474">
        <f>'Справка 8.1 България'!C18</f>
        <v>8968255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39">
        <f t="shared" si="71"/>
        <v>44469</v>
      </c>
      <c r="D1203" s="99" t="s">
        <v>772</v>
      </c>
      <c r="E1203" s="99">
        <v>1</v>
      </c>
      <c r="F1203" s="99" t="s">
        <v>762</v>
      </c>
      <c r="H1203" s="474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39">
        <f t="shared" si="71"/>
        <v>44469</v>
      </c>
      <c r="D1204" s="99" t="s">
        <v>774</v>
      </c>
      <c r="E1204" s="99">
        <v>1</v>
      </c>
      <c r="F1204" s="99" t="s">
        <v>773</v>
      </c>
      <c r="H1204" s="474">
        <f>'Справка 8.1 България'!C21</f>
        <v>10111467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39">
        <f t="shared" si="71"/>
        <v>44469</v>
      </c>
      <c r="D1205" s="99" t="s">
        <v>776</v>
      </c>
      <c r="E1205" s="99">
        <v>1</v>
      </c>
      <c r="F1205" s="99" t="s">
        <v>775</v>
      </c>
      <c r="H1205" s="474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39">
        <f t="shared" si="71"/>
        <v>44469</v>
      </c>
      <c r="D1206" s="99" t="s">
        <v>778</v>
      </c>
      <c r="E1206" s="99">
        <v>1</v>
      </c>
      <c r="F1206" s="99" t="s">
        <v>777</v>
      </c>
      <c r="H1206" s="474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39">
        <f t="shared" si="71"/>
        <v>44469</v>
      </c>
      <c r="D1207" s="99" t="s">
        <v>780</v>
      </c>
      <c r="E1207" s="99">
        <v>1</v>
      </c>
      <c r="F1207" s="99" t="s">
        <v>779</v>
      </c>
      <c r="H1207" s="474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39">
        <f t="shared" si="71"/>
        <v>44469</v>
      </c>
      <c r="D1208" s="99" t="s">
        <v>782</v>
      </c>
      <c r="E1208" s="99">
        <v>1</v>
      </c>
      <c r="F1208" s="99" t="s">
        <v>781</v>
      </c>
      <c r="H1208" s="474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39">
        <f t="shared" si="71"/>
        <v>44469</v>
      </c>
      <c r="D1209" s="99" t="s">
        <v>784</v>
      </c>
      <c r="E1209" s="99">
        <v>1</v>
      </c>
      <c r="F1209" s="99" t="s">
        <v>783</v>
      </c>
      <c r="H1209" s="474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39">
        <f t="shared" si="71"/>
        <v>44469</v>
      </c>
      <c r="D1210" s="99" t="s">
        <v>786</v>
      </c>
      <c r="E1210" s="99">
        <v>1</v>
      </c>
      <c r="F1210" s="99" t="s">
        <v>771</v>
      </c>
      <c r="H1210" s="474">
        <f>'Справка 8.1 България'!C27</f>
        <v>10111467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39">
        <f t="shared" si="71"/>
        <v>44469</v>
      </c>
      <c r="D1211" s="99" t="s">
        <v>763</v>
      </c>
      <c r="E1211" s="99">
        <v>2</v>
      </c>
      <c r="F1211" s="99" t="s">
        <v>762</v>
      </c>
      <c r="H1211" s="474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39">
        <f t="shared" si="71"/>
        <v>44469</v>
      </c>
      <c r="D1212" s="99" t="s">
        <v>765</v>
      </c>
      <c r="E1212" s="99">
        <v>2</v>
      </c>
      <c r="F1212" s="99" t="s">
        <v>764</v>
      </c>
      <c r="H1212" s="474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39">
        <f t="shared" si="71"/>
        <v>44469</v>
      </c>
      <c r="D1213" s="99" t="s">
        <v>766</v>
      </c>
      <c r="E1213" s="99">
        <v>2</v>
      </c>
      <c r="F1213" s="99" t="s">
        <v>572</v>
      </c>
      <c r="H1213" s="474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39">
        <f t="shared" si="71"/>
        <v>44469</v>
      </c>
      <c r="D1214" s="99" t="s">
        <v>768</v>
      </c>
      <c r="E1214" s="99">
        <v>2</v>
      </c>
      <c r="F1214" s="99" t="s">
        <v>767</v>
      </c>
      <c r="H1214" s="474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39">
        <f t="shared" si="71"/>
        <v>44469</v>
      </c>
      <c r="D1215" s="99" t="s">
        <v>769</v>
      </c>
      <c r="E1215" s="99">
        <v>2</v>
      </c>
      <c r="F1215" s="99" t="s">
        <v>79</v>
      </c>
      <c r="H1215" s="474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39">
        <f t="shared" si="71"/>
        <v>44469</v>
      </c>
      <c r="D1216" s="99" t="s">
        <v>770</v>
      </c>
      <c r="E1216" s="99">
        <v>2</v>
      </c>
      <c r="F1216" s="99" t="s">
        <v>761</v>
      </c>
      <c r="H1216" s="474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39">
        <f t="shared" si="71"/>
        <v>44469</v>
      </c>
      <c r="D1217" s="99" t="s">
        <v>772</v>
      </c>
      <c r="E1217" s="99">
        <v>2</v>
      </c>
      <c r="F1217" s="99" t="s">
        <v>762</v>
      </c>
      <c r="H1217" s="474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39">
        <f t="shared" si="71"/>
        <v>44469</v>
      </c>
      <c r="D1218" s="99" t="s">
        <v>774</v>
      </c>
      <c r="E1218" s="99">
        <v>2</v>
      </c>
      <c r="F1218" s="99" t="s">
        <v>773</v>
      </c>
      <c r="H1218" s="474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39">
        <f t="shared" si="71"/>
        <v>44469</v>
      </c>
      <c r="D1219" s="99" t="s">
        <v>776</v>
      </c>
      <c r="E1219" s="99">
        <v>2</v>
      </c>
      <c r="F1219" s="99" t="s">
        <v>775</v>
      </c>
      <c r="H1219" s="474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39">
        <f t="shared" si="71"/>
        <v>44469</v>
      </c>
      <c r="D1220" s="99" t="s">
        <v>778</v>
      </c>
      <c r="E1220" s="99">
        <v>2</v>
      </c>
      <c r="F1220" s="99" t="s">
        <v>777</v>
      </c>
      <c r="H1220" s="474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39">
        <f t="shared" si="71"/>
        <v>44469</v>
      </c>
      <c r="D1221" s="99" t="s">
        <v>780</v>
      </c>
      <c r="E1221" s="99">
        <v>2</v>
      </c>
      <c r="F1221" s="99" t="s">
        <v>779</v>
      </c>
      <c r="H1221" s="474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39">
        <f t="shared" si="71"/>
        <v>44469</v>
      </c>
      <c r="D1222" s="99" t="s">
        <v>782</v>
      </c>
      <c r="E1222" s="99">
        <v>2</v>
      </c>
      <c r="F1222" s="99" t="s">
        <v>781</v>
      </c>
      <c r="H1222" s="474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39">
        <f t="shared" si="71"/>
        <v>44469</v>
      </c>
      <c r="D1223" s="99" t="s">
        <v>784</v>
      </c>
      <c r="E1223" s="99">
        <v>2</v>
      </c>
      <c r="F1223" s="99" t="s">
        <v>783</v>
      </c>
      <c r="H1223" s="474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39">
        <f t="shared" si="71"/>
        <v>44469</v>
      </c>
      <c r="D1224" s="99" t="s">
        <v>786</v>
      </c>
      <c r="E1224" s="99">
        <v>2</v>
      </c>
      <c r="F1224" s="99" t="s">
        <v>771</v>
      </c>
      <c r="H1224" s="474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39">
        <f t="shared" si="71"/>
        <v>44469</v>
      </c>
      <c r="D1225" s="99" t="s">
        <v>763</v>
      </c>
      <c r="E1225" s="99">
        <v>3</v>
      </c>
      <c r="F1225" s="99" t="s">
        <v>762</v>
      </c>
      <c r="H1225" s="474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39">
        <f t="shared" si="71"/>
        <v>44469</v>
      </c>
      <c r="D1226" s="99" t="s">
        <v>765</v>
      </c>
      <c r="E1226" s="99">
        <v>3</v>
      </c>
      <c r="F1226" s="99" t="s">
        <v>764</v>
      </c>
      <c r="H1226" s="474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39">
        <f t="shared" si="71"/>
        <v>44469</v>
      </c>
      <c r="D1227" s="99" t="s">
        <v>766</v>
      </c>
      <c r="E1227" s="99">
        <v>3</v>
      </c>
      <c r="F1227" s="99" t="s">
        <v>572</v>
      </c>
      <c r="H1227" s="474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39">
        <f t="shared" si="71"/>
        <v>44469</v>
      </c>
      <c r="D1228" s="99" t="s">
        <v>768</v>
      </c>
      <c r="E1228" s="99">
        <v>3</v>
      </c>
      <c r="F1228" s="99" t="s">
        <v>767</v>
      </c>
      <c r="H1228" s="474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39">
        <f t="shared" ref="C1229:C1260" si="74">endDate</f>
        <v>44469</v>
      </c>
      <c r="D1229" s="99" t="s">
        <v>769</v>
      </c>
      <c r="E1229" s="99">
        <v>3</v>
      </c>
      <c r="F1229" s="99" t="s">
        <v>79</v>
      </c>
      <c r="H1229" s="474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39">
        <f t="shared" si="74"/>
        <v>44469</v>
      </c>
      <c r="D1230" s="99" t="s">
        <v>770</v>
      </c>
      <c r="E1230" s="99">
        <v>3</v>
      </c>
      <c r="F1230" s="99" t="s">
        <v>761</v>
      </c>
      <c r="H1230" s="474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39">
        <f t="shared" si="74"/>
        <v>44469</v>
      </c>
      <c r="D1231" s="99" t="s">
        <v>772</v>
      </c>
      <c r="E1231" s="99">
        <v>3</v>
      </c>
      <c r="F1231" s="99" t="s">
        <v>762</v>
      </c>
      <c r="H1231" s="474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39">
        <f t="shared" si="74"/>
        <v>44469</v>
      </c>
      <c r="D1232" s="99" t="s">
        <v>774</v>
      </c>
      <c r="E1232" s="99">
        <v>3</v>
      </c>
      <c r="F1232" s="99" t="s">
        <v>773</v>
      </c>
      <c r="H1232" s="474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39">
        <f t="shared" si="74"/>
        <v>44469</v>
      </c>
      <c r="D1233" s="99" t="s">
        <v>776</v>
      </c>
      <c r="E1233" s="99">
        <v>3</v>
      </c>
      <c r="F1233" s="99" t="s">
        <v>775</v>
      </c>
      <c r="H1233" s="474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39">
        <f t="shared" si="74"/>
        <v>44469</v>
      </c>
      <c r="D1234" s="99" t="s">
        <v>778</v>
      </c>
      <c r="E1234" s="99">
        <v>3</v>
      </c>
      <c r="F1234" s="99" t="s">
        <v>777</v>
      </c>
      <c r="H1234" s="474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39">
        <f t="shared" si="74"/>
        <v>44469</v>
      </c>
      <c r="D1235" s="99" t="s">
        <v>780</v>
      </c>
      <c r="E1235" s="99">
        <v>3</v>
      </c>
      <c r="F1235" s="99" t="s">
        <v>779</v>
      </c>
      <c r="H1235" s="474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39">
        <f t="shared" si="74"/>
        <v>44469</v>
      </c>
      <c r="D1236" s="99" t="s">
        <v>782</v>
      </c>
      <c r="E1236" s="99">
        <v>3</v>
      </c>
      <c r="F1236" s="99" t="s">
        <v>781</v>
      </c>
      <c r="H1236" s="474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39">
        <f t="shared" si="74"/>
        <v>44469</v>
      </c>
      <c r="D1237" s="99" t="s">
        <v>784</v>
      </c>
      <c r="E1237" s="99">
        <v>3</v>
      </c>
      <c r="F1237" s="99" t="s">
        <v>783</v>
      </c>
      <c r="H1237" s="474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39">
        <f t="shared" si="74"/>
        <v>44469</v>
      </c>
      <c r="D1238" s="99" t="s">
        <v>786</v>
      </c>
      <c r="E1238" s="99">
        <v>3</v>
      </c>
      <c r="F1238" s="99" t="s">
        <v>771</v>
      </c>
      <c r="H1238" s="474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39">
        <f t="shared" si="74"/>
        <v>44469</v>
      </c>
      <c r="D1239" s="99" t="s">
        <v>763</v>
      </c>
      <c r="E1239" s="99">
        <v>4</v>
      </c>
      <c r="F1239" s="99" t="s">
        <v>762</v>
      </c>
      <c r="H1239" s="474">
        <f>'Справка 8.1 България'!F13</f>
        <v>89695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39">
        <f t="shared" si="74"/>
        <v>44469</v>
      </c>
      <c r="D1240" s="99" t="s">
        <v>765</v>
      </c>
      <c r="E1240" s="99">
        <v>4</v>
      </c>
      <c r="F1240" s="99" t="s">
        <v>764</v>
      </c>
      <c r="H1240" s="474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39">
        <f t="shared" si="74"/>
        <v>44469</v>
      </c>
      <c r="D1241" s="99" t="s">
        <v>766</v>
      </c>
      <c r="E1241" s="99">
        <v>4</v>
      </c>
      <c r="F1241" s="99" t="s">
        <v>572</v>
      </c>
      <c r="H1241" s="474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39">
        <f t="shared" si="74"/>
        <v>44469</v>
      </c>
      <c r="D1242" s="99" t="s">
        <v>768</v>
      </c>
      <c r="E1242" s="99">
        <v>4</v>
      </c>
      <c r="F1242" s="99" t="s">
        <v>767</v>
      </c>
      <c r="H1242" s="474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39">
        <f t="shared" si="74"/>
        <v>44469</v>
      </c>
      <c r="D1243" s="99" t="s">
        <v>769</v>
      </c>
      <c r="E1243" s="99">
        <v>4</v>
      </c>
      <c r="F1243" s="99" t="s">
        <v>79</v>
      </c>
      <c r="H1243" s="474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39">
        <f t="shared" si="74"/>
        <v>44469</v>
      </c>
      <c r="D1244" s="99" t="s">
        <v>770</v>
      </c>
      <c r="E1244" s="99">
        <v>4</v>
      </c>
      <c r="F1244" s="99" t="s">
        <v>761</v>
      </c>
      <c r="H1244" s="474">
        <f>'Справка 8.1 България'!F18</f>
        <v>89695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39">
        <f t="shared" si="74"/>
        <v>44469</v>
      </c>
      <c r="D1245" s="99" t="s">
        <v>772</v>
      </c>
      <c r="E1245" s="99">
        <v>4</v>
      </c>
      <c r="F1245" s="99" t="s">
        <v>762</v>
      </c>
      <c r="H1245" s="474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39">
        <f t="shared" si="74"/>
        <v>44469</v>
      </c>
      <c r="D1246" s="99" t="s">
        <v>774</v>
      </c>
      <c r="E1246" s="99">
        <v>4</v>
      </c>
      <c r="F1246" s="99" t="s">
        <v>773</v>
      </c>
      <c r="H1246" s="474">
        <f>'Справка 8.1 България'!F21</f>
        <v>37735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39">
        <f t="shared" si="74"/>
        <v>44469</v>
      </c>
      <c r="D1247" s="99" t="s">
        <v>776</v>
      </c>
      <c r="E1247" s="99">
        <v>4</v>
      </c>
      <c r="F1247" s="99" t="s">
        <v>775</v>
      </c>
      <c r="H1247" s="474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39">
        <f t="shared" si="74"/>
        <v>44469</v>
      </c>
      <c r="D1248" s="99" t="s">
        <v>778</v>
      </c>
      <c r="E1248" s="99">
        <v>4</v>
      </c>
      <c r="F1248" s="99" t="s">
        <v>777</v>
      </c>
      <c r="H1248" s="474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39">
        <f t="shared" si="74"/>
        <v>44469</v>
      </c>
      <c r="D1249" s="99" t="s">
        <v>780</v>
      </c>
      <c r="E1249" s="99">
        <v>4</v>
      </c>
      <c r="F1249" s="99" t="s">
        <v>779</v>
      </c>
      <c r="H1249" s="474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39">
        <f t="shared" si="74"/>
        <v>44469</v>
      </c>
      <c r="D1250" s="99" t="s">
        <v>782</v>
      </c>
      <c r="E1250" s="99">
        <v>4</v>
      </c>
      <c r="F1250" s="99" t="s">
        <v>781</v>
      </c>
      <c r="H1250" s="474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39">
        <f t="shared" si="74"/>
        <v>44469</v>
      </c>
      <c r="D1251" s="99" t="s">
        <v>784</v>
      </c>
      <c r="E1251" s="99">
        <v>4</v>
      </c>
      <c r="F1251" s="99" t="s">
        <v>783</v>
      </c>
      <c r="H1251" s="474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39">
        <f t="shared" si="74"/>
        <v>44469</v>
      </c>
      <c r="D1252" s="99" t="s">
        <v>786</v>
      </c>
      <c r="E1252" s="99">
        <v>4</v>
      </c>
      <c r="F1252" s="99" t="s">
        <v>771</v>
      </c>
      <c r="H1252" s="474">
        <f>'Справка 8.1 България'!F27</f>
        <v>37735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39">
        <f t="shared" si="74"/>
        <v>44469</v>
      </c>
      <c r="D1253" s="99" t="s">
        <v>763</v>
      </c>
      <c r="E1253" s="99">
        <v>5</v>
      </c>
      <c r="F1253" s="99" t="s">
        <v>762</v>
      </c>
      <c r="H1253" s="474">
        <f>'Справка 8.1 България'!G13</f>
        <v>363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39">
        <f t="shared" si="74"/>
        <v>44469</v>
      </c>
      <c r="D1254" s="99" t="s">
        <v>765</v>
      </c>
      <c r="E1254" s="99">
        <v>5</v>
      </c>
      <c r="F1254" s="99" t="s">
        <v>764</v>
      </c>
      <c r="H1254" s="474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39">
        <f t="shared" si="74"/>
        <v>44469</v>
      </c>
      <c r="D1255" s="99" t="s">
        <v>766</v>
      </c>
      <c r="E1255" s="99">
        <v>5</v>
      </c>
      <c r="F1255" s="99" t="s">
        <v>572</v>
      </c>
      <c r="H1255" s="474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39">
        <f t="shared" si="74"/>
        <v>44469</v>
      </c>
      <c r="D1256" s="99" t="s">
        <v>768</v>
      </c>
      <c r="E1256" s="99">
        <v>5</v>
      </c>
      <c r="F1256" s="99" t="s">
        <v>767</v>
      </c>
      <c r="H1256" s="474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39">
        <f t="shared" si="74"/>
        <v>44469</v>
      </c>
      <c r="D1257" s="99" t="s">
        <v>769</v>
      </c>
      <c r="E1257" s="99">
        <v>5</v>
      </c>
      <c r="F1257" s="99" t="s">
        <v>79</v>
      </c>
      <c r="H1257" s="474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39">
        <f t="shared" si="74"/>
        <v>44469</v>
      </c>
      <c r="D1258" s="99" t="s">
        <v>770</v>
      </c>
      <c r="E1258" s="99">
        <v>5</v>
      </c>
      <c r="F1258" s="99" t="s">
        <v>761</v>
      </c>
      <c r="H1258" s="474">
        <f>'Справка 8.1 България'!G18</f>
        <v>363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39">
        <f t="shared" si="74"/>
        <v>44469</v>
      </c>
      <c r="D1259" s="99" t="s">
        <v>772</v>
      </c>
      <c r="E1259" s="99">
        <v>5</v>
      </c>
      <c r="F1259" s="99" t="s">
        <v>762</v>
      </c>
      <c r="H1259" s="474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39">
        <f t="shared" si="74"/>
        <v>44469</v>
      </c>
      <c r="D1260" s="99" t="s">
        <v>774</v>
      </c>
      <c r="E1260" s="99">
        <v>5</v>
      </c>
      <c r="F1260" s="99" t="s">
        <v>773</v>
      </c>
      <c r="H1260" s="474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39">
        <f t="shared" ref="C1261:C1294" si="77">endDate</f>
        <v>44469</v>
      </c>
      <c r="D1261" s="99" t="s">
        <v>776</v>
      </c>
      <c r="E1261" s="99">
        <v>5</v>
      </c>
      <c r="F1261" s="99" t="s">
        <v>775</v>
      </c>
      <c r="H1261" s="474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39">
        <f t="shared" si="77"/>
        <v>44469</v>
      </c>
      <c r="D1262" s="99" t="s">
        <v>778</v>
      </c>
      <c r="E1262" s="99">
        <v>5</v>
      </c>
      <c r="F1262" s="99" t="s">
        <v>777</v>
      </c>
      <c r="H1262" s="474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39">
        <f t="shared" si="77"/>
        <v>44469</v>
      </c>
      <c r="D1263" s="99" t="s">
        <v>780</v>
      </c>
      <c r="E1263" s="99">
        <v>5</v>
      </c>
      <c r="F1263" s="99" t="s">
        <v>779</v>
      </c>
      <c r="H1263" s="474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39">
        <f t="shared" si="77"/>
        <v>44469</v>
      </c>
      <c r="D1264" s="99" t="s">
        <v>782</v>
      </c>
      <c r="E1264" s="99">
        <v>5</v>
      </c>
      <c r="F1264" s="99" t="s">
        <v>781</v>
      </c>
      <c r="H1264" s="474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39">
        <f t="shared" si="77"/>
        <v>44469</v>
      </c>
      <c r="D1265" s="99" t="s">
        <v>784</v>
      </c>
      <c r="E1265" s="99">
        <v>5</v>
      </c>
      <c r="F1265" s="99" t="s">
        <v>783</v>
      </c>
      <c r="H1265" s="474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39">
        <f t="shared" si="77"/>
        <v>44469</v>
      </c>
      <c r="D1266" s="99" t="s">
        <v>786</v>
      </c>
      <c r="E1266" s="99">
        <v>5</v>
      </c>
      <c r="F1266" s="99" t="s">
        <v>771</v>
      </c>
      <c r="H1266" s="474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39">
        <f t="shared" si="77"/>
        <v>44469</v>
      </c>
      <c r="D1267" s="99" t="s">
        <v>763</v>
      </c>
      <c r="E1267" s="99">
        <v>6</v>
      </c>
      <c r="F1267" s="99" t="s">
        <v>762</v>
      </c>
      <c r="H1267" s="474">
        <f>'Справка 8.1 България'!H13</f>
        <v>730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39">
        <f t="shared" si="77"/>
        <v>44469</v>
      </c>
      <c r="D1268" s="99" t="s">
        <v>765</v>
      </c>
      <c r="E1268" s="99">
        <v>6</v>
      </c>
      <c r="F1268" s="99" t="s">
        <v>764</v>
      </c>
      <c r="H1268" s="474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39">
        <f t="shared" si="77"/>
        <v>44469</v>
      </c>
      <c r="D1269" s="99" t="s">
        <v>766</v>
      </c>
      <c r="E1269" s="99">
        <v>6</v>
      </c>
      <c r="F1269" s="99" t="s">
        <v>572</v>
      </c>
      <c r="H1269" s="474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39">
        <f t="shared" si="77"/>
        <v>44469</v>
      </c>
      <c r="D1270" s="99" t="s">
        <v>768</v>
      </c>
      <c r="E1270" s="99">
        <v>6</v>
      </c>
      <c r="F1270" s="99" t="s">
        <v>767</v>
      </c>
      <c r="H1270" s="474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39">
        <f t="shared" si="77"/>
        <v>44469</v>
      </c>
      <c r="D1271" s="99" t="s">
        <v>769</v>
      </c>
      <c r="E1271" s="99">
        <v>6</v>
      </c>
      <c r="F1271" s="99" t="s">
        <v>79</v>
      </c>
      <c r="H1271" s="474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39">
        <f t="shared" si="77"/>
        <v>44469</v>
      </c>
      <c r="D1272" s="99" t="s">
        <v>770</v>
      </c>
      <c r="E1272" s="99">
        <v>6</v>
      </c>
      <c r="F1272" s="99" t="s">
        <v>761</v>
      </c>
      <c r="H1272" s="474">
        <f>'Справка 8.1 България'!H18</f>
        <v>730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39">
        <f t="shared" si="77"/>
        <v>44469</v>
      </c>
      <c r="D1273" s="99" t="s">
        <v>772</v>
      </c>
      <c r="E1273" s="99">
        <v>6</v>
      </c>
      <c r="F1273" s="99" t="s">
        <v>762</v>
      </c>
      <c r="H1273" s="474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39">
        <f t="shared" si="77"/>
        <v>44469</v>
      </c>
      <c r="D1274" s="99" t="s">
        <v>774</v>
      </c>
      <c r="E1274" s="99">
        <v>6</v>
      </c>
      <c r="F1274" s="99" t="s">
        <v>773</v>
      </c>
      <c r="H1274" s="474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39">
        <f t="shared" si="77"/>
        <v>44469</v>
      </c>
      <c r="D1275" s="99" t="s">
        <v>776</v>
      </c>
      <c r="E1275" s="99">
        <v>6</v>
      </c>
      <c r="F1275" s="99" t="s">
        <v>775</v>
      </c>
      <c r="H1275" s="474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39">
        <f t="shared" si="77"/>
        <v>44469</v>
      </c>
      <c r="D1276" s="99" t="s">
        <v>778</v>
      </c>
      <c r="E1276" s="99">
        <v>6</v>
      </c>
      <c r="F1276" s="99" t="s">
        <v>777</v>
      </c>
      <c r="H1276" s="474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39">
        <f t="shared" si="77"/>
        <v>44469</v>
      </c>
      <c r="D1277" s="99" t="s">
        <v>780</v>
      </c>
      <c r="E1277" s="99">
        <v>6</v>
      </c>
      <c r="F1277" s="99" t="s">
        <v>779</v>
      </c>
      <c r="H1277" s="474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39">
        <f t="shared" si="77"/>
        <v>44469</v>
      </c>
      <c r="D1278" s="99" t="s">
        <v>782</v>
      </c>
      <c r="E1278" s="99">
        <v>6</v>
      </c>
      <c r="F1278" s="99" t="s">
        <v>781</v>
      </c>
      <c r="H1278" s="474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39">
        <f t="shared" si="77"/>
        <v>44469</v>
      </c>
      <c r="D1279" s="99" t="s">
        <v>784</v>
      </c>
      <c r="E1279" s="99">
        <v>6</v>
      </c>
      <c r="F1279" s="99" t="s">
        <v>783</v>
      </c>
      <c r="H1279" s="474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39">
        <f t="shared" si="77"/>
        <v>44469</v>
      </c>
      <c r="D1280" s="99" t="s">
        <v>786</v>
      </c>
      <c r="E1280" s="99">
        <v>6</v>
      </c>
      <c r="F1280" s="99" t="s">
        <v>771</v>
      </c>
      <c r="H1280" s="474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39">
        <f t="shared" si="77"/>
        <v>44469</v>
      </c>
      <c r="D1281" s="99" t="s">
        <v>763</v>
      </c>
      <c r="E1281" s="99">
        <v>7</v>
      </c>
      <c r="F1281" s="99" t="s">
        <v>762</v>
      </c>
      <c r="H1281" s="474">
        <f>'Справка 8.1 България'!I13</f>
        <v>89328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39">
        <f t="shared" si="77"/>
        <v>44469</v>
      </c>
      <c r="D1282" s="99" t="s">
        <v>765</v>
      </c>
      <c r="E1282" s="99">
        <v>7</v>
      </c>
      <c r="F1282" s="99" t="s">
        <v>764</v>
      </c>
      <c r="H1282" s="474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39">
        <f t="shared" si="77"/>
        <v>44469</v>
      </c>
      <c r="D1283" s="99" t="s">
        <v>766</v>
      </c>
      <c r="E1283" s="99">
        <v>7</v>
      </c>
      <c r="F1283" s="99" t="s">
        <v>572</v>
      </c>
      <c r="H1283" s="474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39">
        <f t="shared" si="77"/>
        <v>44469</v>
      </c>
      <c r="D1284" s="99" t="s">
        <v>768</v>
      </c>
      <c r="E1284" s="99">
        <v>7</v>
      </c>
      <c r="F1284" s="99" t="s">
        <v>767</v>
      </c>
      <c r="H1284" s="474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39">
        <f t="shared" si="77"/>
        <v>44469</v>
      </c>
      <c r="D1285" s="99" t="s">
        <v>769</v>
      </c>
      <c r="E1285" s="99">
        <v>7</v>
      </c>
      <c r="F1285" s="99" t="s">
        <v>79</v>
      </c>
      <c r="H1285" s="474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39">
        <f t="shared" si="77"/>
        <v>44469</v>
      </c>
      <c r="D1286" s="99" t="s">
        <v>770</v>
      </c>
      <c r="E1286" s="99">
        <v>7</v>
      </c>
      <c r="F1286" s="99" t="s">
        <v>761</v>
      </c>
      <c r="H1286" s="474">
        <f>'Справка 8.1 България'!I18</f>
        <v>89328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39">
        <f t="shared" si="77"/>
        <v>44469</v>
      </c>
      <c r="D1287" s="99" t="s">
        <v>772</v>
      </c>
      <c r="E1287" s="99">
        <v>7</v>
      </c>
      <c r="F1287" s="99" t="s">
        <v>762</v>
      </c>
      <c r="H1287" s="474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39">
        <f t="shared" si="77"/>
        <v>44469</v>
      </c>
      <c r="D1288" s="99" t="s">
        <v>774</v>
      </c>
      <c r="E1288" s="99">
        <v>7</v>
      </c>
      <c r="F1288" s="99" t="s">
        <v>773</v>
      </c>
      <c r="H1288" s="474">
        <f>'Справка 8.1 България'!I21</f>
        <v>37735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39">
        <f t="shared" si="77"/>
        <v>44469</v>
      </c>
      <c r="D1289" s="99" t="s">
        <v>776</v>
      </c>
      <c r="E1289" s="99">
        <v>7</v>
      </c>
      <c r="F1289" s="99" t="s">
        <v>775</v>
      </c>
      <c r="H1289" s="474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39">
        <f t="shared" si="77"/>
        <v>44469</v>
      </c>
      <c r="D1290" s="99" t="s">
        <v>778</v>
      </c>
      <c r="E1290" s="99">
        <v>7</v>
      </c>
      <c r="F1290" s="99" t="s">
        <v>777</v>
      </c>
      <c r="H1290" s="474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39">
        <f t="shared" si="77"/>
        <v>44469</v>
      </c>
      <c r="D1291" s="99" t="s">
        <v>780</v>
      </c>
      <c r="E1291" s="99">
        <v>7</v>
      </c>
      <c r="F1291" s="99" t="s">
        <v>779</v>
      </c>
      <c r="H1291" s="474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39">
        <f t="shared" si="77"/>
        <v>44469</v>
      </c>
      <c r="D1292" s="99" t="s">
        <v>782</v>
      </c>
      <c r="E1292" s="99">
        <v>7</v>
      </c>
      <c r="F1292" s="99" t="s">
        <v>781</v>
      </c>
      <c r="H1292" s="474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39">
        <f t="shared" si="77"/>
        <v>44469</v>
      </c>
      <c r="D1293" s="99" t="s">
        <v>784</v>
      </c>
      <c r="E1293" s="99">
        <v>7</v>
      </c>
      <c r="F1293" s="99" t="s">
        <v>783</v>
      </c>
      <c r="H1293" s="474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39">
        <f t="shared" si="77"/>
        <v>44469</v>
      </c>
      <c r="D1294" s="99" t="s">
        <v>786</v>
      </c>
      <c r="E1294" s="99">
        <v>7</v>
      </c>
      <c r="F1294" s="99" t="s">
        <v>771</v>
      </c>
      <c r="H1294" s="474">
        <f>'Справка 8.1 България'!I27</f>
        <v>37735</v>
      </c>
    </row>
  </sheetData>
  <sheetProtection password="D554" sheet="1" objects="1" scenarios="1" insertRows="0"/>
  <customSheetViews>
    <customSheetView guid="{DE3D9EAF-1767-451E-80FE-3028500A9C7F}" state="hidden">
      <pageMargins left="0.7" right="0.7" top="0.75" bottom="0.75" header="0.3" footer="0.3"/>
      <pageSetup paperSize="9" orientation="portrait" r:id="rId1"/>
    </customSheetView>
    <customSheetView guid="{17A0B690-90B4-478F-B629-540D801E18FD}" state="hidden">
      <pageMargins left="0.7" right="0.7" top="0.75" bottom="0.75" header="0.3" footer="0.3"/>
      <pageSetup paperSize="9" orientation="portrait" r:id="rId2"/>
    </customSheetView>
    <customSheetView guid="{07871067-5294-4FEE-88CE-4A4A5BC97EF0}" state="hidden">
      <pageMargins left="0.7" right="0.7" top="0.75" bottom="0.75" header="0.3" footer="0.3"/>
      <pageSetup paperSize="9" orientation="portrait" r:id="rId3"/>
    </customSheetView>
    <customSheetView guid="{F2D4D9F9-DE61-45A3-92A2-4E78F2B34B7F}" state="hidden">
      <pageMargins left="0.7" right="0.7" top="0.75" bottom="0.75" header="0.3" footer="0.3"/>
      <pageSetup paperSize="9" orientation="portrait" r:id="rId4"/>
    </customSheetView>
  </customSheetViews>
  <phoneticPr fontId="20" type="noConversion"/>
  <pageMargins left="0.7" right="0.7" top="0.75" bottom="0.75" header="0.3" footer="0.3"/>
  <pageSetup paperSize="9"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DE3D9EAF-1767-451E-80FE-3028500A9C7F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7"/>
  <sheetViews>
    <sheetView zoomScale="90" zoomScaleNormal="90" workbookViewId="0"/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3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30.09.2021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1"/>
      <c r="D10" s="552"/>
      <c r="E10" s="213" t="s">
        <v>20</v>
      </c>
      <c r="F10" s="216"/>
      <c r="G10" s="563"/>
      <c r="H10" s="564"/>
    </row>
    <row r="11" spans="1:8">
      <c r="A11" s="94" t="s">
        <v>21</v>
      </c>
      <c r="B11" s="85"/>
      <c r="C11" s="553"/>
      <c r="D11" s="554"/>
      <c r="E11" s="94" t="s">
        <v>22</v>
      </c>
      <c r="F11" s="190"/>
      <c r="G11" s="565"/>
      <c r="H11" s="566"/>
    </row>
    <row r="12" spans="1:8">
      <c r="A12" s="84" t="s">
        <v>23</v>
      </c>
      <c r="B12" s="86" t="s">
        <v>24</v>
      </c>
      <c r="C12" s="188">
        <v>59042</v>
      </c>
      <c r="D12" s="187">
        <v>60096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179149</v>
      </c>
      <c r="D13" s="187">
        <v>191427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97701</v>
      </c>
      <c r="D14" s="187">
        <v>98882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12845</v>
      </c>
      <c r="D15" s="187">
        <v>13717</v>
      </c>
      <c r="E15" s="191" t="s">
        <v>36</v>
      </c>
      <c r="F15" s="87" t="s">
        <v>37</v>
      </c>
      <c r="G15" s="188">
        <v>-37735</v>
      </c>
      <c r="H15" s="187">
        <v>-33656</v>
      </c>
    </row>
    <row r="16" spans="1:8">
      <c r="A16" s="84" t="s">
        <v>38</v>
      </c>
      <c r="B16" s="86" t="s">
        <v>39</v>
      </c>
      <c r="C16" s="188">
        <v>10662</v>
      </c>
      <c r="D16" s="187">
        <v>11156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10546</v>
      </c>
      <c r="D17" s="187">
        <v>9779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7061</v>
      </c>
      <c r="D18" s="187">
        <v>10209</v>
      </c>
      <c r="E18" s="458" t="s">
        <v>47</v>
      </c>
      <c r="F18" s="457" t="s">
        <v>48</v>
      </c>
      <c r="G18" s="567">
        <f>G12+G15+G16+G17</f>
        <v>97063</v>
      </c>
      <c r="H18" s="568">
        <f>H12+H15+H16+H17</f>
        <v>101142</v>
      </c>
    </row>
    <row r="19" spans="1:13">
      <c r="A19" s="84" t="s">
        <v>49</v>
      </c>
      <c r="B19" s="86" t="s">
        <v>50</v>
      </c>
      <c r="C19" s="188">
        <v>243</v>
      </c>
      <c r="D19" s="187">
        <v>291</v>
      </c>
      <c r="E19" s="94" t="s">
        <v>51</v>
      </c>
      <c r="F19" s="89"/>
      <c r="G19" s="569"/>
      <c r="H19" s="570"/>
    </row>
    <row r="20" spans="1:13">
      <c r="A20" s="459" t="s">
        <v>52</v>
      </c>
      <c r="B20" s="90" t="s">
        <v>53</v>
      </c>
      <c r="C20" s="555">
        <f>SUM(C12:C19)</f>
        <v>377249</v>
      </c>
      <c r="D20" s="556">
        <f>SUM(D12:D19)</f>
        <v>395557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3">
        <v>10132</v>
      </c>
      <c r="D21" s="454">
        <v>11691</v>
      </c>
      <c r="E21" s="84" t="s">
        <v>58</v>
      </c>
      <c r="F21" s="87" t="s">
        <v>59</v>
      </c>
      <c r="G21" s="188">
        <v>27978</v>
      </c>
      <c r="H21" s="187">
        <v>28022</v>
      </c>
    </row>
    <row r="22" spans="1:13">
      <c r="A22" s="94" t="s">
        <v>60</v>
      </c>
      <c r="B22" s="91" t="s">
        <v>61</v>
      </c>
      <c r="C22" s="453">
        <v>294</v>
      </c>
      <c r="D22" s="454">
        <v>315</v>
      </c>
      <c r="E22" s="192" t="s">
        <v>62</v>
      </c>
      <c r="F22" s="87" t="s">
        <v>63</v>
      </c>
      <c r="G22" s="571">
        <f>SUM(G23:G25)</f>
        <v>66201</v>
      </c>
      <c r="H22" s="572">
        <f>SUM(H23:H25)</f>
        <v>63335</v>
      </c>
      <c r="M22" s="92"/>
    </row>
    <row r="23" spans="1:13">
      <c r="A23" s="94" t="s">
        <v>64</v>
      </c>
      <c r="B23" s="86"/>
      <c r="C23" s="553"/>
      <c r="D23" s="554"/>
      <c r="E23" s="191" t="s">
        <v>65</v>
      </c>
      <c r="F23" s="87" t="s">
        <v>66</v>
      </c>
      <c r="G23" s="188">
        <v>66201</v>
      </c>
      <c r="H23" s="187">
        <v>63335</v>
      </c>
    </row>
    <row r="24" spans="1:13">
      <c r="A24" s="84" t="s">
        <v>67</v>
      </c>
      <c r="B24" s="86" t="s">
        <v>68</v>
      </c>
      <c r="C24" s="188">
        <v>33038</v>
      </c>
      <c r="D24" s="187">
        <v>38606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13280</v>
      </c>
      <c r="D25" s="187">
        <v>14471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1" t="s">
        <v>77</v>
      </c>
      <c r="F26" s="89" t="s">
        <v>78</v>
      </c>
      <c r="G26" s="555">
        <f>G20+G21+G22</f>
        <v>94179</v>
      </c>
      <c r="H26" s="556">
        <f>H20+H21+H22</f>
        <v>91357</v>
      </c>
      <c r="M26" s="92"/>
    </row>
    <row r="27" spans="1:13">
      <c r="A27" s="84" t="s">
        <v>79</v>
      </c>
      <c r="B27" s="86" t="s">
        <v>80</v>
      </c>
      <c r="C27" s="188">
        <v>8505</v>
      </c>
      <c r="D27" s="187">
        <v>5195</v>
      </c>
      <c r="E27" s="94" t="s">
        <v>81</v>
      </c>
      <c r="F27" s="89"/>
      <c r="G27" s="569"/>
      <c r="H27" s="570"/>
    </row>
    <row r="28" spans="1:13">
      <c r="A28" s="459" t="s">
        <v>82</v>
      </c>
      <c r="B28" s="91" t="s">
        <v>83</v>
      </c>
      <c r="C28" s="555">
        <f>SUM(C24:C27)</f>
        <v>54823</v>
      </c>
      <c r="D28" s="556">
        <f>SUM(D24:D27)</f>
        <v>58272</v>
      </c>
      <c r="E28" s="193" t="s">
        <v>84</v>
      </c>
      <c r="F28" s="87" t="s">
        <v>85</v>
      </c>
      <c r="G28" s="553">
        <f>SUM(G29:G31)</f>
        <v>359654</v>
      </c>
      <c r="H28" s="554">
        <f>SUM(H29:H31)</f>
        <v>330965</v>
      </c>
      <c r="M28" s="92"/>
    </row>
    <row r="29" spans="1:13">
      <c r="A29" s="84"/>
      <c r="B29" s="86"/>
      <c r="C29" s="553"/>
      <c r="D29" s="554"/>
      <c r="E29" s="84" t="s">
        <v>86</v>
      </c>
      <c r="F29" s="87" t="s">
        <v>87</v>
      </c>
      <c r="G29" s="188">
        <v>359654</v>
      </c>
      <c r="H29" s="187">
        <v>330965</v>
      </c>
    </row>
    <row r="30" spans="1:13">
      <c r="A30" s="94" t="s">
        <v>88</v>
      </c>
      <c r="B30" s="86"/>
      <c r="C30" s="553"/>
      <c r="D30" s="554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13417</v>
      </c>
      <c r="D31" s="187">
        <v>13269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50528</v>
      </c>
      <c r="H32" s="187">
        <v>29805</v>
      </c>
      <c r="M32" s="92"/>
    </row>
    <row r="33" spans="1:13">
      <c r="A33" s="459" t="s">
        <v>99</v>
      </c>
      <c r="B33" s="91" t="s">
        <v>100</v>
      </c>
      <c r="C33" s="555">
        <f>C31+C32</f>
        <v>13417</v>
      </c>
      <c r="D33" s="556">
        <f>D31+D32</f>
        <v>13269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3"/>
      <c r="D34" s="554"/>
      <c r="E34" s="461" t="s">
        <v>104</v>
      </c>
      <c r="F34" s="89" t="s">
        <v>105</v>
      </c>
      <c r="G34" s="555">
        <f>G28+G32+G33</f>
        <v>410182</v>
      </c>
      <c r="H34" s="556">
        <f>H28+H32+H33</f>
        <v>360770</v>
      </c>
    </row>
    <row r="35" spans="1:13">
      <c r="A35" s="84" t="s">
        <v>106</v>
      </c>
      <c r="B35" s="88" t="s">
        <v>107</v>
      </c>
      <c r="C35" s="553">
        <f>SUM(C36:C39)</f>
        <v>92130</v>
      </c>
      <c r="D35" s="554">
        <f>SUM(D36:D39)</f>
        <v>77105</v>
      </c>
      <c r="E35" s="84"/>
      <c r="F35" s="93"/>
      <c r="G35" s="573"/>
      <c r="H35" s="574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3"/>
      <c r="H36" s="574"/>
    </row>
    <row r="37" spans="1:13">
      <c r="A37" s="84" t="s">
        <v>110</v>
      </c>
      <c r="B37" s="86" t="s">
        <v>111</v>
      </c>
      <c r="C37" s="188">
        <v>2074</v>
      </c>
      <c r="D37" s="187"/>
      <c r="E37" s="460" t="s">
        <v>822</v>
      </c>
      <c r="F37" s="93" t="s">
        <v>112</v>
      </c>
      <c r="G37" s="557">
        <f>G26+G18+G34</f>
        <v>601424</v>
      </c>
      <c r="H37" s="558">
        <f>H26+H18+H34</f>
        <v>553269</v>
      </c>
    </row>
    <row r="38" spans="1:13">
      <c r="A38" s="84" t="s">
        <v>113</v>
      </c>
      <c r="B38" s="86" t="s">
        <v>114</v>
      </c>
      <c r="C38" s="188">
        <v>75311</v>
      </c>
      <c r="D38" s="187">
        <v>62811</v>
      </c>
      <c r="E38" s="84"/>
      <c r="F38" s="93"/>
      <c r="G38" s="573"/>
      <c r="H38" s="574"/>
      <c r="M38" s="92"/>
    </row>
    <row r="39" spans="1:13" ht="16.5" thickBot="1">
      <c r="A39" s="84" t="s">
        <v>115</v>
      </c>
      <c r="B39" s="86" t="s">
        <v>116</v>
      </c>
      <c r="C39" s="188">
        <v>14745</v>
      </c>
      <c r="D39" s="187">
        <v>14294</v>
      </c>
      <c r="E39" s="204"/>
      <c r="F39" s="205"/>
      <c r="G39" s="575"/>
      <c r="H39" s="576"/>
    </row>
    <row r="40" spans="1:13">
      <c r="A40" s="84" t="s">
        <v>117</v>
      </c>
      <c r="B40" s="86" t="s">
        <v>118</v>
      </c>
      <c r="C40" s="553">
        <f>C41+C42+C44</f>
        <v>0</v>
      </c>
      <c r="D40" s="554">
        <f>D41+D42+D44</f>
        <v>0</v>
      </c>
      <c r="E40" s="206" t="s">
        <v>119</v>
      </c>
      <c r="F40" s="203" t="s">
        <v>120</v>
      </c>
      <c r="G40" s="540">
        <v>13901</v>
      </c>
      <c r="H40" s="541">
        <v>13326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75"/>
      <c r="H41" s="576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7"/>
      <c r="H42" s="578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3"/>
      <c r="H43" s="574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8882</v>
      </c>
      <c r="H44" s="187">
        <v>8783</v>
      </c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34797</v>
      </c>
      <c r="H45" s="187">
        <v>34567</v>
      </c>
    </row>
    <row r="46" spans="1:13">
      <c r="A46" s="450" t="s">
        <v>137</v>
      </c>
      <c r="B46" s="90" t="s">
        <v>138</v>
      </c>
      <c r="C46" s="555">
        <f>C35+C40+C45</f>
        <v>92130</v>
      </c>
      <c r="D46" s="556">
        <f>D35+D40+D45</f>
        <v>77105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7"/>
      <c r="D47" s="558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51277</v>
      </c>
      <c r="D48" s="187">
        <v>59726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7770</v>
      </c>
      <c r="D49" s="187">
        <v>7608</v>
      </c>
      <c r="E49" s="84" t="s">
        <v>150</v>
      </c>
      <c r="F49" s="87" t="s">
        <v>151</v>
      </c>
      <c r="G49" s="188">
        <v>57787</v>
      </c>
      <c r="H49" s="187">
        <v>62018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3">
        <f>SUM(G44:G49)</f>
        <v>101466</v>
      </c>
      <c r="H50" s="554">
        <f>SUM(H44:H49)</f>
        <v>105368</v>
      </c>
    </row>
    <row r="51" spans="1:13">
      <c r="A51" s="84" t="s">
        <v>79</v>
      </c>
      <c r="B51" s="86" t="s">
        <v>155</v>
      </c>
      <c r="C51" s="188">
        <v>4045</v>
      </c>
      <c r="D51" s="187">
        <v>4343</v>
      </c>
      <c r="E51" s="84"/>
      <c r="F51" s="87"/>
      <c r="G51" s="553"/>
      <c r="H51" s="554"/>
    </row>
    <row r="52" spans="1:13">
      <c r="A52" s="459" t="s">
        <v>156</v>
      </c>
      <c r="B52" s="90" t="s">
        <v>157</v>
      </c>
      <c r="C52" s="555">
        <f>SUM(C48:C51)</f>
        <v>63092</v>
      </c>
      <c r="D52" s="556">
        <f>SUM(D48:D51)</f>
        <v>71677</v>
      </c>
      <c r="E52" s="192" t="s">
        <v>158</v>
      </c>
      <c r="F52" s="89" t="s">
        <v>159</v>
      </c>
      <c r="G52" s="188">
        <v>7453</v>
      </c>
      <c r="H52" s="187">
        <v>7339</v>
      </c>
    </row>
    <row r="53" spans="1:13">
      <c r="A53" s="84" t="s">
        <v>9</v>
      </c>
      <c r="B53" s="90"/>
      <c r="C53" s="553"/>
      <c r="D53" s="554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5"/>
      <c r="D54" s="456"/>
      <c r="E54" s="84" t="s">
        <v>164</v>
      </c>
      <c r="F54" s="89" t="s">
        <v>165</v>
      </c>
      <c r="G54" s="188">
        <v>6184</v>
      </c>
      <c r="H54" s="187">
        <v>7937</v>
      </c>
    </row>
    <row r="55" spans="1:13">
      <c r="A55" s="94" t="s">
        <v>166</v>
      </c>
      <c r="B55" s="90" t="s">
        <v>167</v>
      </c>
      <c r="C55" s="455">
        <v>182</v>
      </c>
      <c r="D55" s="456">
        <v>2049</v>
      </c>
      <c r="E55" s="84" t="s">
        <v>168</v>
      </c>
      <c r="F55" s="89" t="s">
        <v>169</v>
      </c>
      <c r="G55" s="188">
        <v>7746</v>
      </c>
      <c r="H55" s="187">
        <v>10422</v>
      </c>
    </row>
    <row r="56" spans="1:13" ht="16.5" thickBot="1">
      <c r="A56" s="452" t="s">
        <v>170</v>
      </c>
      <c r="B56" s="199" t="s">
        <v>171</v>
      </c>
      <c r="C56" s="559">
        <f>C20+C21+C22+C28+C33+C46+C52+C54+C55</f>
        <v>611319</v>
      </c>
      <c r="D56" s="560">
        <f>D20+D21+D22+D28+D33+D46+D52+D54+D55</f>
        <v>629935</v>
      </c>
      <c r="E56" s="94" t="s">
        <v>825</v>
      </c>
      <c r="F56" s="93" t="s">
        <v>172</v>
      </c>
      <c r="G56" s="557">
        <f>G50+G52+G53+G54+G55</f>
        <v>122849</v>
      </c>
      <c r="H56" s="558">
        <f>H50+H52+H53+H54+H55</f>
        <v>131066</v>
      </c>
      <c r="M56" s="92"/>
    </row>
    <row r="57" spans="1:13">
      <c r="A57" s="200" t="s">
        <v>173</v>
      </c>
      <c r="B57" s="201"/>
      <c r="C57" s="551"/>
      <c r="D57" s="552"/>
      <c r="E57" s="200" t="s">
        <v>175</v>
      </c>
      <c r="F57" s="203"/>
      <c r="G57" s="551"/>
      <c r="H57" s="552"/>
    </row>
    <row r="58" spans="1:13">
      <c r="A58" s="94" t="s">
        <v>174</v>
      </c>
      <c r="B58" s="83"/>
      <c r="C58" s="557"/>
      <c r="D58" s="558"/>
      <c r="E58" s="94" t="s">
        <v>128</v>
      </c>
      <c r="F58" s="87"/>
      <c r="G58" s="553"/>
      <c r="H58" s="554"/>
      <c r="M58" s="92"/>
    </row>
    <row r="59" spans="1:13" ht="31.5">
      <c r="A59" s="84" t="s">
        <v>176</v>
      </c>
      <c r="B59" s="86" t="s">
        <v>177</v>
      </c>
      <c r="C59" s="188">
        <v>34687</v>
      </c>
      <c r="D59" s="187">
        <v>36464</v>
      </c>
      <c r="E59" s="192" t="s">
        <v>180</v>
      </c>
      <c r="F59" s="463" t="s">
        <v>181</v>
      </c>
      <c r="G59" s="188">
        <v>187948</v>
      </c>
      <c r="H59" s="187">
        <v>255281</v>
      </c>
    </row>
    <row r="60" spans="1:13">
      <c r="A60" s="84" t="s">
        <v>178</v>
      </c>
      <c r="B60" s="86" t="s">
        <v>179</v>
      </c>
      <c r="C60" s="188">
        <v>32309</v>
      </c>
      <c r="D60" s="187">
        <v>30757</v>
      </c>
      <c r="E60" s="84" t="s">
        <v>184</v>
      </c>
      <c r="F60" s="87" t="s">
        <v>185</v>
      </c>
      <c r="G60" s="188">
        <v>25690</v>
      </c>
      <c r="H60" s="187">
        <v>31172</v>
      </c>
      <c r="M60" s="92"/>
    </row>
    <row r="61" spans="1:13">
      <c r="A61" s="84" t="s">
        <v>182</v>
      </c>
      <c r="B61" s="86" t="s">
        <v>183</v>
      </c>
      <c r="C61" s="188">
        <v>201844</v>
      </c>
      <c r="D61" s="187">
        <v>212663</v>
      </c>
      <c r="E61" s="191" t="s">
        <v>188</v>
      </c>
      <c r="F61" s="87" t="s">
        <v>189</v>
      </c>
      <c r="G61" s="553">
        <f>SUM(G62:G68)</f>
        <v>217527</v>
      </c>
      <c r="H61" s="554">
        <f>SUM(H62:H68)</f>
        <v>191872</v>
      </c>
    </row>
    <row r="62" spans="1:13">
      <c r="A62" s="84" t="s">
        <v>186</v>
      </c>
      <c r="B62" s="88" t="s">
        <v>187</v>
      </c>
      <c r="C62" s="188">
        <v>5430</v>
      </c>
      <c r="D62" s="187">
        <v>7685</v>
      </c>
      <c r="E62" s="191" t="s">
        <v>192</v>
      </c>
      <c r="F62" s="87" t="s">
        <v>193</v>
      </c>
      <c r="G62" s="188">
        <v>2610</v>
      </c>
      <c r="H62" s="187">
        <v>2367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187987</v>
      </c>
      <c r="H64" s="187">
        <v>163664</v>
      </c>
      <c r="M64" s="92"/>
    </row>
    <row r="65" spans="1:13">
      <c r="A65" s="459" t="s">
        <v>52</v>
      </c>
      <c r="B65" s="90" t="s">
        <v>198</v>
      </c>
      <c r="C65" s="555">
        <f>SUM(C59:C64)</f>
        <v>274270</v>
      </c>
      <c r="D65" s="556">
        <f>SUM(D59:D64)</f>
        <v>287569</v>
      </c>
      <c r="E65" s="84" t="s">
        <v>201</v>
      </c>
      <c r="F65" s="87" t="s">
        <v>202</v>
      </c>
      <c r="G65" s="188">
        <v>648</v>
      </c>
      <c r="H65" s="187">
        <v>1255</v>
      </c>
    </row>
    <row r="66" spans="1:13">
      <c r="A66" s="84"/>
      <c r="B66" s="90"/>
      <c r="C66" s="553"/>
      <c r="D66" s="554"/>
      <c r="E66" s="84" t="s">
        <v>204</v>
      </c>
      <c r="F66" s="87" t="s">
        <v>205</v>
      </c>
      <c r="G66" s="188">
        <v>15075</v>
      </c>
      <c r="H66" s="187">
        <v>14716</v>
      </c>
    </row>
    <row r="67" spans="1:13">
      <c r="A67" s="94" t="s">
        <v>203</v>
      </c>
      <c r="B67" s="83"/>
      <c r="C67" s="557"/>
      <c r="D67" s="558"/>
      <c r="E67" s="84" t="s">
        <v>208</v>
      </c>
      <c r="F67" s="87" t="s">
        <v>209</v>
      </c>
      <c r="G67" s="188">
        <v>3201</v>
      </c>
      <c r="H67" s="187">
        <v>3280</v>
      </c>
    </row>
    <row r="68" spans="1:13">
      <c r="A68" s="84" t="s">
        <v>206</v>
      </c>
      <c r="B68" s="86" t="s">
        <v>207</v>
      </c>
      <c r="C68" s="188">
        <v>9274</v>
      </c>
      <c r="D68" s="187">
        <v>6682</v>
      </c>
      <c r="E68" s="84" t="s">
        <v>212</v>
      </c>
      <c r="F68" s="87" t="s">
        <v>213</v>
      </c>
      <c r="G68" s="188">
        <v>8006</v>
      </c>
      <c r="H68" s="187">
        <v>6590</v>
      </c>
    </row>
    <row r="69" spans="1:13">
      <c r="A69" s="84" t="s">
        <v>210</v>
      </c>
      <c r="B69" s="86" t="s">
        <v>211</v>
      </c>
      <c r="C69" s="188">
        <v>246920</v>
      </c>
      <c r="D69" s="187">
        <v>235529</v>
      </c>
      <c r="E69" s="192" t="s">
        <v>79</v>
      </c>
      <c r="F69" s="87" t="s">
        <v>216</v>
      </c>
      <c r="G69" s="188">
        <v>61232</v>
      </c>
      <c r="H69" s="187">
        <v>66126</v>
      </c>
    </row>
    <row r="70" spans="1:13">
      <c r="A70" s="84" t="s">
        <v>214</v>
      </c>
      <c r="B70" s="86" t="s">
        <v>215</v>
      </c>
      <c r="C70" s="188">
        <v>26390</v>
      </c>
      <c r="D70" s="187">
        <v>15178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1507</v>
      </c>
      <c r="D71" s="187">
        <v>4017</v>
      </c>
      <c r="E71" s="451" t="s">
        <v>47</v>
      </c>
      <c r="F71" s="89" t="s">
        <v>223</v>
      </c>
      <c r="G71" s="555">
        <f>G59+G60+G61+G69+G70</f>
        <v>492397</v>
      </c>
      <c r="H71" s="556">
        <f>H59+H60+H61+H69+H70</f>
        <v>544451</v>
      </c>
    </row>
    <row r="72" spans="1:13">
      <c r="A72" s="84" t="s">
        <v>221</v>
      </c>
      <c r="B72" s="86" t="s">
        <v>222</v>
      </c>
      <c r="C72" s="188">
        <v>15432</v>
      </c>
      <c r="D72" s="187">
        <v>15363</v>
      </c>
      <c r="E72" s="191"/>
      <c r="F72" s="87"/>
      <c r="G72" s="553"/>
      <c r="H72" s="554"/>
    </row>
    <row r="73" spans="1:13">
      <c r="A73" s="84" t="s">
        <v>224</v>
      </c>
      <c r="B73" s="86" t="s">
        <v>225</v>
      </c>
      <c r="C73" s="188">
        <v>16448</v>
      </c>
      <c r="D73" s="187">
        <v>17333</v>
      </c>
      <c r="E73" s="450" t="s">
        <v>230</v>
      </c>
      <c r="F73" s="89" t="s">
        <v>231</v>
      </c>
      <c r="G73" s="455"/>
      <c r="H73" s="456"/>
    </row>
    <row r="74" spans="1:13">
      <c r="A74" s="84" t="s">
        <v>226</v>
      </c>
      <c r="B74" s="86" t="s">
        <v>227</v>
      </c>
      <c r="C74" s="188"/>
      <c r="D74" s="187"/>
      <c r="E74" s="529"/>
      <c r="F74" s="530"/>
      <c r="G74" s="553"/>
      <c r="H74" s="579"/>
    </row>
    <row r="75" spans="1:13">
      <c r="A75" s="84" t="s">
        <v>228</v>
      </c>
      <c r="B75" s="86" t="s">
        <v>229</v>
      </c>
      <c r="C75" s="188">
        <v>4870</v>
      </c>
      <c r="D75" s="187">
        <v>3388</v>
      </c>
      <c r="E75" s="462" t="s">
        <v>160</v>
      </c>
      <c r="F75" s="89" t="s">
        <v>233</v>
      </c>
      <c r="G75" s="455"/>
      <c r="H75" s="456"/>
    </row>
    <row r="76" spans="1:13">
      <c r="A76" s="459" t="s">
        <v>77</v>
      </c>
      <c r="B76" s="90" t="s">
        <v>232</v>
      </c>
      <c r="C76" s="555">
        <f>SUM(C68:C75)</f>
        <v>320841</v>
      </c>
      <c r="D76" s="556">
        <f>SUM(D68:D75)</f>
        <v>297490</v>
      </c>
      <c r="E76" s="529"/>
      <c r="F76" s="530"/>
      <c r="G76" s="553"/>
      <c r="H76" s="579"/>
    </row>
    <row r="77" spans="1:13">
      <c r="A77" s="84"/>
      <c r="B77" s="86"/>
      <c r="C77" s="553"/>
      <c r="D77" s="554"/>
      <c r="E77" s="450" t="s">
        <v>234</v>
      </c>
      <c r="F77" s="89" t="s">
        <v>235</v>
      </c>
      <c r="G77" s="455"/>
      <c r="H77" s="456"/>
    </row>
    <row r="78" spans="1:13">
      <c r="A78" s="94" t="s">
        <v>236</v>
      </c>
      <c r="B78" s="83"/>
      <c r="C78" s="557"/>
      <c r="D78" s="558"/>
      <c r="E78" s="84"/>
      <c r="F78" s="95"/>
      <c r="G78" s="573"/>
      <c r="H78" s="574"/>
      <c r="M78" s="92"/>
    </row>
    <row r="79" spans="1:13">
      <c r="A79" s="84" t="s">
        <v>237</v>
      </c>
      <c r="B79" s="86" t="s">
        <v>238</v>
      </c>
      <c r="C79" s="553">
        <f>SUM(C80:C82)</f>
        <v>0</v>
      </c>
      <c r="D79" s="554">
        <f>SUM(D80:D82)</f>
        <v>0</v>
      </c>
      <c r="E79" s="196" t="s">
        <v>824</v>
      </c>
      <c r="F79" s="93" t="s">
        <v>241</v>
      </c>
      <c r="G79" s="557">
        <f>G71+G73+G75+G77</f>
        <v>492397</v>
      </c>
      <c r="H79" s="558">
        <f>H71+H73+H75+H77</f>
        <v>544451</v>
      </c>
    </row>
    <row r="80" spans="1:13">
      <c r="A80" s="84" t="s">
        <v>239</v>
      </c>
      <c r="B80" s="86" t="s">
        <v>240</v>
      </c>
      <c r="C80" s="188"/>
      <c r="D80" s="187"/>
      <c r="E80" s="529"/>
      <c r="F80" s="530"/>
      <c r="G80" s="553"/>
      <c r="H80" s="579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0"/>
      <c r="H81" s="581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0"/>
      <c r="H82" s="581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0"/>
      <c r="H83" s="581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0"/>
      <c r="H84" s="581"/>
    </row>
    <row r="85" spans="1:13">
      <c r="A85" s="459" t="s">
        <v>249</v>
      </c>
      <c r="B85" s="90" t="s">
        <v>250</v>
      </c>
      <c r="C85" s="555">
        <f>C84+C83+C79</f>
        <v>0</v>
      </c>
      <c r="D85" s="556">
        <f>D84+D83+D79</f>
        <v>0</v>
      </c>
      <c r="E85" s="195"/>
      <c r="F85" s="97"/>
      <c r="G85" s="580"/>
      <c r="H85" s="581"/>
    </row>
    <row r="86" spans="1:13">
      <c r="A86" s="84"/>
      <c r="B86" s="90"/>
      <c r="C86" s="553"/>
      <c r="D86" s="554"/>
      <c r="E86" s="198"/>
      <c r="F86" s="97"/>
      <c r="G86" s="580"/>
      <c r="H86" s="581"/>
      <c r="M86" s="92"/>
    </row>
    <row r="87" spans="1:13">
      <c r="A87" s="94" t="s">
        <v>251</v>
      </c>
      <c r="B87" s="86"/>
      <c r="C87" s="553"/>
      <c r="D87" s="554"/>
      <c r="E87" s="195"/>
      <c r="F87" s="97"/>
      <c r="G87" s="580"/>
      <c r="H87" s="581"/>
    </row>
    <row r="88" spans="1:13">
      <c r="A88" s="84" t="s">
        <v>252</v>
      </c>
      <c r="B88" s="86" t="s">
        <v>253</v>
      </c>
      <c r="C88" s="188">
        <v>2756</v>
      </c>
      <c r="D88" s="187">
        <v>2268</v>
      </c>
      <c r="E88" s="198"/>
      <c r="F88" s="97"/>
      <c r="G88" s="580"/>
      <c r="H88" s="581"/>
      <c r="M88" s="92"/>
    </row>
    <row r="89" spans="1:13">
      <c r="A89" s="84" t="s">
        <v>254</v>
      </c>
      <c r="B89" s="86" t="s">
        <v>255</v>
      </c>
      <c r="C89" s="188">
        <v>19430</v>
      </c>
      <c r="D89" s="187">
        <v>22871</v>
      </c>
      <c r="E89" s="195"/>
      <c r="F89" s="97"/>
      <c r="G89" s="580"/>
      <c r="H89" s="581"/>
    </row>
    <row r="90" spans="1:13">
      <c r="A90" s="84" t="s">
        <v>256</v>
      </c>
      <c r="B90" s="86" t="s">
        <v>257</v>
      </c>
      <c r="C90" s="188">
        <v>6</v>
      </c>
      <c r="D90" s="187">
        <v>154</v>
      </c>
      <c r="E90" s="195"/>
      <c r="F90" s="97"/>
      <c r="G90" s="580"/>
      <c r="H90" s="581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0"/>
      <c r="H91" s="581"/>
    </row>
    <row r="92" spans="1:13">
      <c r="A92" s="459" t="s">
        <v>823</v>
      </c>
      <c r="B92" s="90" t="s">
        <v>260</v>
      </c>
      <c r="C92" s="555">
        <f>SUM(C88:C91)</f>
        <v>22192</v>
      </c>
      <c r="D92" s="556">
        <f>SUM(D88:D91)</f>
        <v>25293</v>
      </c>
      <c r="E92" s="195"/>
      <c r="F92" s="97"/>
      <c r="G92" s="580"/>
      <c r="H92" s="581"/>
      <c r="M92" s="92"/>
    </row>
    <row r="93" spans="1:13">
      <c r="A93" s="450" t="s">
        <v>261</v>
      </c>
      <c r="B93" s="90" t="s">
        <v>262</v>
      </c>
      <c r="C93" s="455">
        <v>1949</v>
      </c>
      <c r="D93" s="456">
        <v>1825</v>
      </c>
      <c r="E93" s="195"/>
      <c r="F93" s="97"/>
      <c r="G93" s="580"/>
      <c r="H93" s="581"/>
    </row>
    <row r="94" spans="1:13" ht="16.5" thickBot="1">
      <c r="A94" s="467" t="s">
        <v>263</v>
      </c>
      <c r="B94" s="217" t="s">
        <v>264</v>
      </c>
      <c r="C94" s="559">
        <f>C65+C76+C85+C92+C93</f>
        <v>619252</v>
      </c>
      <c r="D94" s="560">
        <f>D65+D76+D85+D92+D93</f>
        <v>612177</v>
      </c>
      <c r="E94" s="218"/>
      <c r="F94" s="219"/>
      <c r="G94" s="582"/>
      <c r="H94" s="583"/>
      <c r="M94" s="92"/>
    </row>
    <row r="95" spans="1:13" ht="32.25" thickBot="1">
      <c r="A95" s="464" t="s">
        <v>265</v>
      </c>
      <c r="B95" s="465" t="s">
        <v>266</v>
      </c>
      <c r="C95" s="561">
        <f>C94+C56</f>
        <v>1230571</v>
      </c>
      <c r="D95" s="562">
        <f>D94+D56</f>
        <v>1242112</v>
      </c>
      <c r="E95" s="220" t="s">
        <v>916</v>
      </c>
      <c r="F95" s="466" t="s">
        <v>268</v>
      </c>
      <c r="G95" s="561">
        <f>G37+G40+G56+G79</f>
        <v>1230571</v>
      </c>
      <c r="H95" s="562">
        <f>H37+H40+H56+H79</f>
        <v>1242112</v>
      </c>
    </row>
    <row r="96" spans="1:13">
      <c r="A96" s="165"/>
      <c r="B96" s="531"/>
      <c r="C96" s="165"/>
      <c r="D96" s="165"/>
      <c r="E96" s="532"/>
      <c r="M96" s="92"/>
    </row>
    <row r="97" spans="1:13">
      <c r="A97" s="534"/>
      <c r="B97" s="531"/>
      <c r="C97" s="165"/>
      <c r="D97" s="165"/>
      <c r="E97" s="532"/>
      <c r="M97" s="92"/>
    </row>
    <row r="98" spans="1:13">
      <c r="A98" s="649" t="s">
        <v>950</v>
      </c>
      <c r="B98" s="705">
        <f>pdeReportingDate</f>
        <v>44529</v>
      </c>
      <c r="C98" s="705"/>
      <c r="D98" s="705"/>
      <c r="E98" s="705"/>
      <c r="F98" s="705"/>
      <c r="G98" s="705"/>
      <c r="H98" s="705"/>
      <c r="M98" s="92"/>
    </row>
    <row r="99" spans="1:13">
      <c r="A99" s="649"/>
      <c r="B99" s="671"/>
      <c r="C99" s="671"/>
      <c r="D99" s="671"/>
      <c r="E99" s="671"/>
      <c r="F99" s="671"/>
      <c r="G99" s="671"/>
      <c r="H99" s="671"/>
      <c r="M99" s="92"/>
    </row>
    <row r="100" spans="1:13">
      <c r="A100" s="649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0" t="s">
        <v>8</v>
      </c>
      <c r="B101" s="706" t="str">
        <f>authorName</f>
        <v>Людмила Бонджова</v>
      </c>
      <c r="C101" s="706"/>
      <c r="D101" s="706"/>
      <c r="E101" s="706"/>
      <c r="F101" s="706"/>
      <c r="G101" s="706"/>
      <c r="H101" s="706"/>
    </row>
    <row r="102" spans="1:13">
      <c r="A102" s="650"/>
      <c r="B102" s="658"/>
      <c r="C102" s="658"/>
      <c r="D102" s="658"/>
      <c r="E102" s="658"/>
      <c r="F102" s="658"/>
      <c r="G102" s="658"/>
      <c r="H102" s="658"/>
    </row>
    <row r="103" spans="1:13">
      <c r="A103" s="650"/>
      <c r="B103" s="75"/>
      <c r="C103" s="75"/>
      <c r="D103" s="75"/>
      <c r="E103" s="75"/>
      <c r="F103" s="75"/>
      <c r="G103" s="75"/>
      <c r="H103" s="75"/>
    </row>
    <row r="104" spans="1:13">
      <c r="A104" s="650" t="s">
        <v>894</v>
      </c>
      <c r="B104" s="707"/>
      <c r="C104" s="707"/>
      <c r="D104" s="707"/>
      <c r="E104" s="707"/>
      <c r="F104" s="707"/>
      <c r="G104" s="707"/>
      <c r="H104" s="707"/>
    </row>
    <row r="105" spans="1:13" ht="21.75" customHeight="1">
      <c r="A105" s="651"/>
      <c r="B105" s="708" t="str">
        <f>+Начална!B17</f>
        <v>Огнян Донев</v>
      </c>
      <c r="C105" s="704"/>
      <c r="D105" s="704"/>
      <c r="E105" s="704"/>
      <c r="M105" s="92"/>
    </row>
    <row r="106" spans="1:13" ht="21.75" customHeight="1">
      <c r="A106" s="651"/>
      <c r="B106" s="704"/>
      <c r="C106" s="704"/>
      <c r="D106" s="704"/>
      <c r="E106" s="704"/>
    </row>
    <row r="107" spans="1:13" ht="21.75" customHeight="1">
      <c r="A107" s="651"/>
      <c r="B107" s="704"/>
      <c r="C107" s="704"/>
      <c r="D107" s="704"/>
      <c r="E107" s="704"/>
      <c r="M107" s="92"/>
    </row>
    <row r="108" spans="1:13" ht="21.75" customHeight="1">
      <c r="A108" s="651"/>
      <c r="B108" s="704"/>
      <c r="C108" s="704"/>
      <c r="D108" s="704"/>
      <c r="E108" s="704"/>
    </row>
    <row r="109" spans="1:13" ht="21.75" customHeight="1">
      <c r="A109" s="651"/>
      <c r="B109" s="704"/>
      <c r="C109" s="704"/>
      <c r="D109" s="704"/>
      <c r="E109" s="704"/>
      <c r="M109" s="92"/>
    </row>
    <row r="110" spans="1:13" ht="21.75" customHeight="1">
      <c r="A110" s="651"/>
      <c r="B110" s="704"/>
      <c r="C110" s="704"/>
      <c r="D110" s="704"/>
      <c r="E110" s="704"/>
    </row>
    <row r="111" spans="1:13" ht="21.75" customHeight="1">
      <c r="A111" s="651"/>
      <c r="B111" s="704"/>
      <c r="C111" s="704"/>
      <c r="D111" s="704"/>
      <c r="E111" s="704"/>
      <c r="M111" s="92"/>
    </row>
    <row r="119" spans="5:13">
      <c r="E119" s="535"/>
    </row>
    <row r="121" spans="5:13">
      <c r="E121" s="535"/>
      <c r="M121" s="92"/>
    </row>
    <row r="123" spans="5:13">
      <c r="E123" s="535"/>
      <c r="M123" s="92"/>
    </row>
    <row r="125" spans="5:13">
      <c r="E125" s="535"/>
    </row>
    <row r="127" spans="5:13">
      <c r="E127" s="535"/>
      <c r="M127" s="92"/>
    </row>
    <row r="129" spans="5:13">
      <c r="E129" s="535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5"/>
      <c r="M137" s="92"/>
    </row>
    <row r="139" spans="5:13">
      <c r="E139" s="535"/>
      <c r="M139" s="92"/>
    </row>
    <row r="141" spans="5:13">
      <c r="E141" s="535"/>
      <c r="M141" s="92"/>
    </row>
    <row r="143" spans="5:13">
      <c r="E143" s="535"/>
      <c r="M143" s="92"/>
    </row>
    <row r="145" spans="5:13">
      <c r="E145" s="535"/>
    </row>
    <row r="147" spans="5:13">
      <c r="E147" s="535"/>
    </row>
    <row r="149" spans="5:13">
      <c r="E149" s="535"/>
    </row>
    <row r="151" spans="5:13">
      <c r="E151" s="535"/>
      <c r="M151" s="92"/>
    </row>
    <row r="153" spans="5:13">
      <c r="M153" s="92"/>
    </row>
    <row r="155" spans="5:13">
      <c r="M155" s="92"/>
    </row>
    <row r="161" spans="1:18">
      <c r="E161" s="535"/>
    </row>
    <row r="163" spans="1:18" s="533" customFormat="1">
      <c r="A163" s="44"/>
      <c r="B163" s="44"/>
      <c r="C163" s="44"/>
      <c r="D163" s="44"/>
      <c r="E163" s="535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3" customFormat="1">
      <c r="A165" s="44"/>
      <c r="B165" s="44"/>
      <c r="C165" s="44"/>
      <c r="D165" s="44"/>
      <c r="E165" s="535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3" customFormat="1">
      <c r="A167" s="44"/>
      <c r="B167" s="44"/>
      <c r="C167" s="44"/>
      <c r="D167" s="44"/>
      <c r="E167" s="535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3" customFormat="1">
      <c r="A169" s="44"/>
      <c r="B169" s="44"/>
      <c r="C169" s="44"/>
      <c r="D169" s="44"/>
      <c r="E169" s="535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3" customFormat="1">
      <c r="A177" s="44"/>
      <c r="B177" s="44"/>
      <c r="C177" s="44"/>
      <c r="D177" s="44"/>
      <c r="E177" s="535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3" customFormat="1">
      <c r="A179" s="44"/>
      <c r="B179" s="44"/>
      <c r="C179" s="44"/>
      <c r="D179" s="44"/>
      <c r="E179" s="535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3" customFormat="1">
      <c r="A181" s="44"/>
      <c r="B181" s="44"/>
      <c r="C181" s="44"/>
      <c r="D181" s="44"/>
      <c r="E181" s="535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3" customFormat="1">
      <c r="A183" s="44"/>
      <c r="B183" s="44"/>
      <c r="C183" s="44"/>
      <c r="D183" s="44"/>
      <c r="E183" s="535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3" customFormat="1">
      <c r="A187" s="44"/>
      <c r="B187" s="44"/>
      <c r="C187" s="44"/>
      <c r="D187" s="44"/>
      <c r="E187" s="535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DE3D9EAF-1767-451E-80FE-3028500A9C7F}" scale="90" fitToPage="1"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17A0B690-90B4-478F-B629-540D801E18FD}" scale="80" fitToPage="1">
      <selection activeCell="A42" sqref="A42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07871067-5294-4FEE-88CE-4A4A5BC97EF0}" scale="80" fitToPage="1" topLeftCell="A67">
      <selection activeCell="N80" sqref="N80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  <customSheetView guid="{F2D4D9F9-DE61-45A3-92A2-4E78F2B34B7F}" scale="80" showPageBreaks="1" fitToPage="1" printArea="1" topLeftCell="A4">
      <selection activeCell="M23" sqref="M23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4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5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5"/>
  <sheetViews>
    <sheetView zoomScale="90" zoomScaleNormal="90" workbookViewId="0"/>
  </sheetViews>
  <sheetFormatPr defaultColWidth="9.28515625" defaultRowHeight="15.75"/>
  <cols>
    <col min="1" max="1" width="50.7109375" style="528" customWidth="1"/>
    <col min="2" max="2" width="10.7109375" style="528" customWidth="1"/>
    <col min="3" max="4" width="15.7109375" style="182" customWidth="1"/>
    <col min="5" max="5" width="50.7109375" style="528" customWidth="1"/>
    <col min="6" max="6" width="10.7109375" style="52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3"/>
      <c r="C5" s="523"/>
      <c r="D5" s="523"/>
      <c r="E5" s="26"/>
      <c r="F5" s="74"/>
      <c r="G5" s="75"/>
      <c r="H5" s="14"/>
    </row>
    <row r="6" spans="1:8">
      <c r="A6" s="70" t="str">
        <f>CONCATENATE("към ",TEXT(endDate,"dd.mm.yyyy")," г.")</f>
        <v>към 30.09.2021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0"/>
      <c r="H10" s="591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5">
        <v>57444</v>
      </c>
      <c r="D12" s="665">
        <v>67016</v>
      </c>
      <c r="E12" s="185" t="s">
        <v>277</v>
      </c>
      <c r="F12" s="231" t="s">
        <v>278</v>
      </c>
      <c r="G12" s="305">
        <v>191860</v>
      </c>
      <c r="H12" s="306">
        <v>193651</v>
      </c>
    </row>
    <row r="13" spans="1:8">
      <c r="A13" s="185" t="s">
        <v>279</v>
      </c>
      <c r="B13" s="181" t="s">
        <v>280</v>
      </c>
      <c r="C13" s="305">
        <v>50823</v>
      </c>
      <c r="D13" s="665">
        <v>55823</v>
      </c>
      <c r="E13" s="185" t="s">
        <v>281</v>
      </c>
      <c r="F13" s="231" t="s">
        <v>282</v>
      </c>
      <c r="G13" s="305">
        <v>987469</v>
      </c>
      <c r="H13" s="306">
        <v>824795</v>
      </c>
    </row>
    <row r="14" spans="1:8">
      <c r="A14" s="185" t="s">
        <v>283</v>
      </c>
      <c r="B14" s="181" t="s">
        <v>284</v>
      </c>
      <c r="C14" s="305">
        <v>40559</v>
      </c>
      <c r="D14" s="665">
        <v>32741</v>
      </c>
      <c r="E14" s="236" t="s">
        <v>285</v>
      </c>
      <c r="F14" s="231" t="s">
        <v>286</v>
      </c>
      <c r="G14" s="305">
        <v>5734</v>
      </c>
      <c r="H14" s="306">
        <v>4833</v>
      </c>
    </row>
    <row r="15" spans="1:8">
      <c r="A15" s="185" t="s">
        <v>287</v>
      </c>
      <c r="B15" s="181" t="s">
        <v>288</v>
      </c>
      <c r="C15" s="305">
        <v>94745</v>
      </c>
      <c r="D15" s="665">
        <v>80832</v>
      </c>
      <c r="E15" s="236" t="s">
        <v>79</v>
      </c>
      <c r="F15" s="231" t="s">
        <v>289</v>
      </c>
      <c r="G15" s="305">
        <v>3248</v>
      </c>
      <c r="H15" s="306">
        <v>2053</v>
      </c>
    </row>
    <row r="16" spans="1:8">
      <c r="A16" s="185" t="s">
        <v>290</v>
      </c>
      <c r="B16" s="181" t="s">
        <v>291</v>
      </c>
      <c r="C16" s="305">
        <v>16464</v>
      </c>
      <c r="D16" s="665">
        <v>14368</v>
      </c>
      <c r="E16" s="227" t="s">
        <v>52</v>
      </c>
      <c r="F16" s="255" t="s">
        <v>292</v>
      </c>
      <c r="G16" s="586">
        <f>SUM(G12:G15)</f>
        <v>1188311</v>
      </c>
      <c r="H16" s="587">
        <f>SUM(H12:H15)</f>
        <v>1025332</v>
      </c>
    </row>
    <row r="17" spans="1:8" ht="31.5">
      <c r="A17" s="185" t="s">
        <v>293</v>
      </c>
      <c r="B17" s="181" t="s">
        <v>294</v>
      </c>
      <c r="C17" s="305">
        <v>864214</v>
      </c>
      <c r="D17" s="665">
        <v>742556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5">
        <v>4494</v>
      </c>
      <c r="D18" s="665">
        <v>-9357</v>
      </c>
      <c r="E18" s="225" t="s">
        <v>297</v>
      </c>
      <c r="F18" s="229" t="s">
        <v>298</v>
      </c>
      <c r="G18" s="597">
        <v>658</v>
      </c>
      <c r="H18" s="666">
        <v>713</v>
      </c>
    </row>
    <row r="19" spans="1:8">
      <c r="A19" s="185" t="s">
        <v>299</v>
      </c>
      <c r="B19" s="181" t="s">
        <v>300</v>
      </c>
      <c r="C19" s="305">
        <v>7085</v>
      </c>
      <c r="D19" s="665">
        <v>10320</v>
      </c>
      <c r="E19" s="185" t="s">
        <v>301</v>
      </c>
      <c r="F19" s="228" t="s">
        <v>302</v>
      </c>
      <c r="G19" s="305"/>
      <c r="H19" s="306"/>
    </row>
    <row r="20" spans="1:8">
      <c r="A20" s="226" t="s">
        <v>303</v>
      </c>
      <c r="B20" s="181" t="s">
        <v>304</v>
      </c>
      <c r="C20" s="305">
        <v>1917</v>
      </c>
      <c r="D20" s="665">
        <v>2351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5"/>
      <c r="D21" s="306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6">
        <f>SUM(C12:C18)+C19</f>
        <v>1135828</v>
      </c>
      <c r="D22" s="587">
        <f>SUM(D12:D18)+D19</f>
        <v>994299</v>
      </c>
      <c r="E22" s="185" t="s">
        <v>309</v>
      </c>
      <c r="F22" s="228" t="s">
        <v>310</v>
      </c>
      <c r="G22" s="305">
        <v>3442</v>
      </c>
      <c r="H22" s="306">
        <v>3309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5">
        <v>271</v>
      </c>
      <c r="H23" s="306">
        <v>66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5">
        <v>152</v>
      </c>
      <c r="H24" s="306">
        <v>91</v>
      </c>
    </row>
    <row r="25" spans="1:8" ht="31.5">
      <c r="A25" s="185" t="s">
        <v>316</v>
      </c>
      <c r="B25" s="228" t="s">
        <v>317</v>
      </c>
      <c r="C25" s="305">
        <v>8591</v>
      </c>
      <c r="D25" s="662">
        <v>9212</v>
      </c>
      <c r="E25" s="185" t="s">
        <v>318</v>
      </c>
      <c r="F25" s="228" t="s">
        <v>319</v>
      </c>
      <c r="G25" s="305">
        <v>2461</v>
      </c>
      <c r="H25" s="306"/>
    </row>
    <row r="26" spans="1:8" ht="31.5">
      <c r="A26" s="185" t="s">
        <v>320</v>
      </c>
      <c r="B26" s="228" t="s">
        <v>321</v>
      </c>
      <c r="C26" s="305"/>
      <c r="D26" s="662"/>
      <c r="E26" s="185" t="s">
        <v>322</v>
      </c>
      <c r="F26" s="228" t="s">
        <v>323</v>
      </c>
      <c r="G26" s="305">
        <v>1263</v>
      </c>
      <c r="H26" s="306">
        <v>12</v>
      </c>
    </row>
    <row r="27" spans="1:8" ht="31.5">
      <c r="A27" s="185" t="s">
        <v>324</v>
      </c>
      <c r="B27" s="228" t="s">
        <v>325</v>
      </c>
      <c r="C27" s="305"/>
      <c r="D27" s="662">
        <v>5448</v>
      </c>
      <c r="E27" s="227" t="s">
        <v>104</v>
      </c>
      <c r="F27" s="229" t="s">
        <v>326</v>
      </c>
      <c r="G27" s="586">
        <f>SUM(G22:G26)</f>
        <v>7589</v>
      </c>
      <c r="H27" s="587">
        <f>SUM(H22:H26)</f>
        <v>3478</v>
      </c>
    </row>
    <row r="28" spans="1:8">
      <c r="A28" s="185" t="s">
        <v>79</v>
      </c>
      <c r="B28" s="228" t="s">
        <v>327</v>
      </c>
      <c r="C28" s="305">
        <v>1040</v>
      </c>
      <c r="D28" s="662">
        <v>893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6">
        <f>SUM(C25:C28)</f>
        <v>9631</v>
      </c>
      <c r="D29" s="587">
        <f>SUM(D25:D28)</f>
        <v>15553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592">
        <f>C29+C22</f>
        <v>1145459</v>
      </c>
      <c r="D31" s="593">
        <f>D29+D22</f>
        <v>1009852</v>
      </c>
      <c r="E31" s="242" t="s">
        <v>800</v>
      </c>
      <c r="F31" s="257" t="s">
        <v>331</v>
      </c>
      <c r="G31" s="244">
        <f>G16+G18+G27</f>
        <v>1196558</v>
      </c>
      <c r="H31" s="245">
        <f>H16+H18+H27</f>
        <v>1029523</v>
      </c>
    </row>
    <row r="32" spans="1:8">
      <c r="A32" s="224"/>
      <c r="B32" s="177"/>
      <c r="C32" s="584"/>
      <c r="D32" s="585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51099</v>
      </c>
      <c r="D33" s="235">
        <f>IF((H31-D31)&gt;0,H31-D31,0)</f>
        <v>19671</v>
      </c>
      <c r="E33" s="224" t="s">
        <v>334</v>
      </c>
      <c r="F33" s="229" t="s">
        <v>335</v>
      </c>
      <c r="G33" s="586">
        <f>IF((C31-G31)&gt;0,C31-G31,0)</f>
        <v>0</v>
      </c>
      <c r="H33" s="587">
        <f>IF((D31-H31)&gt;0,D31-H31,0)</f>
        <v>0</v>
      </c>
    </row>
    <row r="34" spans="1:8" ht="31.5">
      <c r="A34" s="230" t="s">
        <v>336</v>
      </c>
      <c r="B34" s="229" t="s">
        <v>337</v>
      </c>
      <c r="C34" s="305">
        <f>7837</f>
        <v>7837</v>
      </c>
      <c r="D34" s="663">
        <v>2355</v>
      </c>
      <c r="E34" s="225" t="s">
        <v>338</v>
      </c>
      <c r="F34" s="228" t="s">
        <v>339</v>
      </c>
      <c r="G34" s="305"/>
      <c r="H34" s="306"/>
    </row>
    <row r="35" spans="1:8">
      <c r="A35" s="225" t="s">
        <v>340</v>
      </c>
      <c r="B35" s="229" t="s">
        <v>341</v>
      </c>
      <c r="C35" s="305"/>
      <c r="D35" s="306"/>
      <c r="E35" s="225" t="s">
        <v>342</v>
      </c>
      <c r="F35" s="228" t="s">
        <v>343</v>
      </c>
      <c r="G35" s="305"/>
      <c r="H35" s="306"/>
    </row>
    <row r="36" spans="1:8" ht="16.5" thickBot="1">
      <c r="A36" s="249" t="s">
        <v>344</v>
      </c>
      <c r="B36" s="247" t="s">
        <v>345</v>
      </c>
      <c r="C36" s="594">
        <f>C31-C34+C35</f>
        <v>1137622</v>
      </c>
      <c r="D36" s="595">
        <f>D31-D34+D35</f>
        <v>1007497</v>
      </c>
      <c r="E36" s="253" t="s">
        <v>346</v>
      </c>
      <c r="F36" s="247" t="s">
        <v>347</v>
      </c>
      <c r="G36" s="258">
        <f>G35-G34+G31</f>
        <v>1196558</v>
      </c>
      <c r="H36" s="259">
        <f>H35-H34+H31</f>
        <v>1029523</v>
      </c>
    </row>
    <row r="37" spans="1:8">
      <c r="A37" s="252" t="s">
        <v>348</v>
      </c>
      <c r="B37" s="222" t="s">
        <v>349</v>
      </c>
      <c r="C37" s="592">
        <f>IF((G36-C36)&gt;0,G36-C36,0)</f>
        <v>58936</v>
      </c>
      <c r="D37" s="593">
        <f>IF((H36-D36)&gt;0,H36-D36,0)</f>
        <v>22026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6">
        <f>C39+C40+C41</f>
        <v>5439</v>
      </c>
      <c r="D38" s="587">
        <f>D39+D40+D41</f>
        <v>4512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5">
        <v>5439</v>
      </c>
      <c r="D39" s="664">
        <v>4512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5"/>
      <c r="D40" s="306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5"/>
      <c r="D41" s="306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53497</v>
      </c>
      <c r="D42" s="235">
        <f>+IF((H36-D36-D38)&gt;0,H36-D36-D38,0)</f>
        <v>17514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5">
        <v>2969</v>
      </c>
      <c r="D43" s="665"/>
      <c r="E43" s="224" t="s">
        <v>364</v>
      </c>
      <c r="F43" s="186" t="s">
        <v>366</v>
      </c>
      <c r="G43" s="543"/>
      <c r="H43" s="596">
        <v>4359</v>
      </c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50528</v>
      </c>
      <c r="D44" s="259">
        <f>IF(H42=0,IF(D42-D43&gt;0,D42-D43+H43,0),IF(H42-H43&lt;0,H43-H42+D42,0))</f>
        <v>21873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88">
        <f>C36+C38+C42</f>
        <v>1196558</v>
      </c>
      <c r="D45" s="589">
        <f>D36+D38+D42</f>
        <v>1029523</v>
      </c>
      <c r="E45" s="261" t="s">
        <v>373</v>
      </c>
      <c r="F45" s="263" t="s">
        <v>374</v>
      </c>
      <c r="G45" s="588">
        <f>G42+G36</f>
        <v>1196558</v>
      </c>
      <c r="H45" s="589">
        <f>H42+H36</f>
        <v>1029523</v>
      </c>
    </row>
    <row r="46" spans="1:8">
      <c r="A46" s="31"/>
      <c r="B46" s="524"/>
      <c r="C46" s="525"/>
      <c r="D46" s="525"/>
      <c r="E46" s="526"/>
      <c r="F46" s="31"/>
      <c r="G46" s="525"/>
      <c r="H46" s="525"/>
    </row>
    <row r="47" spans="1:8">
      <c r="A47" s="709" t="s">
        <v>951</v>
      </c>
      <c r="B47" s="709"/>
      <c r="C47" s="709"/>
      <c r="D47" s="709"/>
      <c r="E47" s="709"/>
      <c r="F47" s="31"/>
      <c r="G47" s="525"/>
      <c r="H47" s="525"/>
    </row>
    <row r="48" spans="1:8">
      <c r="A48" s="31"/>
      <c r="B48" s="524"/>
      <c r="C48" s="525"/>
      <c r="D48" s="525"/>
      <c r="E48" s="526"/>
      <c r="F48" s="31"/>
      <c r="G48" s="525"/>
      <c r="H48" s="525"/>
    </row>
    <row r="49" spans="1:13">
      <c r="A49" s="31"/>
      <c r="B49" s="31"/>
      <c r="C49" s="525"/>
      <c r="D49" s="525"/>
      <c r="E49" s="31"/>
      <c r="F49" s="31"/>
      <c r="G49" s="527"/>
      <c r="H49" s="527"/>
    </row>
    <row r="50" spans="1:13" s="41" customFormat="1">
      <c r="A50" s="649" t="s">
        <v>950</v>
      </c>
      <c r="B50" s="705">
        <f>pdeReportingDate</f>
        <v>44529</v>
      </c>
      <c r="C50" s="705"/>
      <c r="D50" s="705"/>
      <c r="E50" s="705"/>
      <c r="F50" s="705"/>
      <c r="G50" s="705"/>
      <c r="H50" s="705"/>
      <c r="M50" s="92"/>
    </row>
    <row r="51" spans="1:13" s="41" customFormat="1">
      <c r="A51" s="649"/>
      <c r="B51" s="671"/>
      <c r="C51" s="671"/>
      <c r="D51" s="671"/>
      <c r="E51" s="671"/>
      <c r="F51" s="671"/>
      <c r="G51" s="671"/>
      <c r="H51" s="671"/>
      <c r="M51" s="92"/>
    </row>
    <row r="52" spans="1:13" s="41" customFormat="1">
      <c r="A52" s="649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0" t="s">
        <v>8</v>
      </c>
      <c r="B53" s="706" t="str">
        <f>authorName</f>
        <v>Людмила Бонджова</v>
      </c>
      <c r="C53" s="706"/>
      <c r="D53" s="706"/>
      <c r="E53" s="706"/>
      <c r="F53" s="706"/>
      <c r="G53" s="706"/>
      <c r="H53" s="706"/>
    </row>
    <row r="54" spans="1:13" s="41" customFormat="1">
      <c r="A54" s="650"/>
      <c r="B54" s="658"/>
      <c r="C54" s="658"/>
      <c r="D54" s="658"/>
      <c r="E54" s="658"/>
      <c r="F54" s="658"/>
      <c r="G54" s="658"/>
      <c r="H54" s="658"/>
    </row>
    <row r="55" spans="1:13" s="41" customFormat="1">
      <c r="A55" s="650"/>
      <c r="B55" s="75"/>
      <c r="C55" s="75"/>
      <c r="D55" s="75"/>
      <c r="E55" s="75"/>
      <c r="F55" s="75"/>
      <c r="G55" s="75"/>
      <c r="H55" s="75"/>
    </row>
    <row r="56" spans="1:13" s="41" customFormat="1">
      <c r="A56" s="650" t="s">
        <v>894</v>
      </c>
      <c r="B56" s="707"/>
      <c r="C56" s="707"/>
      <c r="D56" s="707"/>
      <c r="E56" s="707"/>
      <c r="F56" s="707"/>
      <c r="G56" s="707"/>
      <c r="H56" s="707"/>
    </row>
    <row r="57" spans="1:13" ht="15.75" customHeight="1">
      <c r="A57" s="651"/>
      <c r="B57" s="708" t="str">
        <f>+Начална!B17</f>
        <v>Огнян Донев</v>
      </c>
      <c r="C57" s="704"/>
      <c r="D57" s="704"/>
      <c r="E57" s="704"/>
      <c r="F57" s="533"/>
      <c r="G57" s="44"/>
      <c r="H57" s="41"/>
    </row>
    <row r="58" spans="1:13" ht="15.75" customHeight="1">
      <c r="A58" s="651"/>
      <c r="B58" s="704"/>
      <c r="C58" s="704"/>
      <c r="D58" s="704"/>
      <c r="E58" s="704"/>
      <c r="F58" s="533"/>
      <c r="G58" s="44"/>
      <c r="H58" s="41"/>
    </row>
    <row r="59" spans="1:13" ht="15.75" customHeight="1">
      <c r="A59" s="651"/>
      <c r="B59" s="704"/>
      <c r="C59" s="704"/>
      <c r="D59" s="704"/>
      <c r="E59" s="704"/>
      <c r="F59" s="533"/>
      <c r="G59" s="44"/>
      <c r="H59" s="41"/>
    </row>
    <row r="60" spans="1:13" ht="15.75" customHeight="1">
      <c r="A60" s="651"/>
      <c r="B60" s="704"/>
      <c r="C60" s="704"/>
      <c r="D60" s="704"/>
      <c r="E60" s="704"/>
      <c r="F60" s="533"/>
      <c r="G60" s="44"/>
      <c r="H60" s="41"/>
    </row>
    <row r="61" spans="1:13">
      <c r="A61" s="651"/>
      <c r="B61" s="704"/>
      <c r="C61" s="704"/>
      <c r="D61" s="704"/>
      <c r="E61" s="704"/>
      <c r="F61" s="533"/>
      <c r="G61" s="44"/>
      <c r="H61" s="41"/>
    </row>
    <row r="62" spans="1:13">
      <c r="A62" s="651"/>
      <c r="B62" s="704"/>
      <c r="C62" s="704"/>
      <c r="D62" s="704"/>
      <c r="E62" s="704"/>
      <c r="F62" s="533"/>
      <c r="G62" s="44"/>
      <c r="H62" s="41"/>
    </row>
    <row r="63" spans="1:13">
      <c r="A63" s="651"/>
      <c r="B63" s="704"/>
      <c r="C63" s="704"/>
      <c r="D63" s="704"/>
      <c r="E63" s="704"/>
      <c r="F63" s="533"/>
      <c r="G63" s="44"/>
      <c r="H63" s="41"/>
    </row>
    <row r="64" spans="1:13">
      <c r="A64" s="31"/>
      <c r="B64" s="31"/>
      <c r="C64" s="525"/>
      <c r="D64" s="525"/>
      <c r="E64" s="31"/>
      <c r="F64" s="31"/>
      <c r="G64" s="527"/>
      <c r="H64" s="527"/>
    </row>
    <row r="65" spans="1:8">
      <c r="A65" s="31"/>
      <c r="B65" s="31"/>
      <c r="C65" s="525"/>
      <c r="D65" s="525"/>
      <c r="E65" s="31"/>
      <c r="F65" s="31"/>
      <c r="G65" s="527"/>
      <c r="H65" s="527"/>
    </row>
    <row r="66" spans="1:8">
      <c r="A66" s="31"/>
      <c r="B66" s="31"/>
      <c r="C66" s="525"/>
      <c r="D66" s="525"/>
      <c r="E66" s="31"/>
      <c r="F66" s="31"/>
      <c r="G66" s="527"/>
      <c r="H66" s="527"/>
    </row>
    <row r="67" spans="1:8">
      <c r="A67" s="31"/>
      <c r="B67" s="31"/>
      <c r="C67" s="525"/>
      <c r="D67" s="525"/>
      <c r="E67" s="31"/>
      <c r="F67" s="31"/>
      <c r="G67" s="527"/>
      <c r="H67" s="527"/>
    </row>
    <row r="68" spans="1:8">
      <c r="A68" s="31"/>
      <c r="B68" s="31"/>
      <c r="C68" s="525"/>
      <c r="D68" s="525"/>
      <c r="E68" s="31"/>
      <c r="F68" s="31"/>
      <c r="G68" s="527"/>
      <c r="H68" s="527"/>
    </row>
    <row r="69" spans="1:8">
      <c r="A69" s="31"/>
      <c r="B69" s="31"/>
      <c r="C69" s="525"/>
      <c r="D69" s="525"/>
      <c r="E69" s="31"/>
      <c r="F69" s="31"/>
      <c r="G69" s="527"/>
      <c r="H69" s="527"/>
    </row>
    <row r="70" spans="1:8">
      <c r="A70" s="31"/>
      <c r="B70" s="31"/>
      <c r="C70" s="525"/>
      <c r="D70" s="525"/>
      <c r="E70" s="31"/>
      <c r="F70" s="31"/>
      <c r="G70" s="527"/>
      <c r="H70" s="527"/>
    </row>
    <row r="71" spans="1:8">
      <c r="A71" s="31"/>
      <c r="B71" s="31"/>
      <c r="C71" s="525"/>
      <c r="D71" s="525"/>
      <c r="E71" s="31"/>
      <c r="F71" s="31"/>
      <c r="G71" s="527"/>
      <c r="H71" s="527"/>
    </row>
    <row r="72" spans="1:8">
      <c r="A72" s="31"/>
      <c r="B72" s="31"/>
      <c r="C72" s="525"/>
      <c r="D72" s="525"/>
      <c r="E72" s="31"/>
      <c r="F72" s="31"/>
      <c r="G72" s="527"/>
      <c r="H72" s="527"/>
    </row>
    <row r="73" spans="1:8">
      <c r="A73" s="31"/>
      <c r="B73" s="31"/>
      <c r="C73" s="525"/>
      <c r="D73" s="525"/>
      <c r="E73" s="31"/>
      <c r="F73" s="31"/>
      <c r="G73" s="527"/>
      <c r="H73" s="527"/>
    </row>
    <row r="74" spans="1:8">
      <c r="A74" s="31"/>
      <c r="B74" s="31"/>
      <c r="C74" s="525"/>
      <c r="D74" s="525"/>
      <c r="E74" s="31"/>
      <c r="F74" s="31"/>
      <c r="G74" s="527"/>
      <c r="H74" s="527"/>
    </row>
    <row r="75" spans="1:8">
      <c r="A75" s="31"/>
      <c r="B75" s="31"/>
      <c r="C75" s="525"/>
      <c r="D75" s="525"/>
      <c r="E75" s="31"/>
      <c r="F75" s="31"/>
      <c r="G75" s="527"/>
      <c r="H75" s="527"/>
    </row>
    <row r="76" spans="1:8">
      <c r="A76" s="31"/>
      <c r="B76" s="31"/>
      <c r="C76" s="525"/>
      <c r="D76" s="525"/>
      <c r="E76" s="31"/>
      <c r="F76" s="31"/>
      <c r="G76" s="527"/>
      <c r="H76" s="527"/>
    </row>
    <row r="77" spans="1:8">
      <c r="A77" s="31"/>
      <c r="B77" s="31"/>
      <c r="C77" s="525"/>
      <c r="D77" s="525"/>
      <c r="E77" s="31"/>
      <c r="F77" s="31"/>
      <c r="G77" s="527"/>
      <c r="H77" s="527"/>
    </row>
    <row r="78" spans="1:8">
      <c r="A78" s="31"/>
      <c r="B78" s="31"/>
      <c r="C78" s="525"/>
      <c r="D78" s="525"/>
      <c r="E78" s="31"/>
      <c r="F78" s="31"/>
      <c r="G78" s="527"/>
      <c r="H78" s="527"/>
    </row>
    <row r="79" spans="1:8">
      <c r="A79" s="31"/>
      <c r="B79" s="31"/>
      <c r="C79" s="525"/>
      <c r="D79" s="525"/>
      <c r="E79" s="31"/>
      <c r="F79" s="31"/>
      <c r="G79" s="527"/>
      <c r="H79" s="527"/>
    </row>
    <row r="80" spans="1:8">
      <c r="A80" s="31"/>
      <c r="B80" s="31"/>
      <c r="C80" s="525"/>
      <c r="D80" s="525"/>
      <c r="E80" s="31"/>
      <c r="F80" s="31"/>
      <c r="G80" s="527"/>
      <c r="H80" s="527"/>
    </row>
    <row r="81" spans="1:8">
      <c r="A81" s="31"/>
      <c r="B81" s="31"/>
      <c r="C81" s="525"/>
      <c r="D81" s="525"/>
      <c r="E81" s="31"/>
      <c r="F81" s="31"/>
      <c r="G81" s="527"/>
      <c r="H81" s="527"/>
    </row>
    <row r="82" spans="1:8">
      <c r="A82" s="31"/>
      <c r="B82" s="31"/>
      <c r="C82" s="525"/>
      <c r="D82" s="525"/>
      <c r="E82" s="31"/>
      <c r="F82" s="31"/>
      <c r="G82" s="527"/>
      <c r="H82" s="527"/>
    </row>
    <row r="83" spans="1:8">
      <c r="A83" s="31"/>
      <c r="B83" s="31"/>
      <c r="C83" s="525"/>
      <c r="D83" s="525"/>
      <c r="E83" s="31"/>
      <c r="F83" s="31"/>
      <c r="G83" s="527"/>
      <c r="H83" s="527"/>
    </row>
    <row r="84" spans="1:8">
      <c r="A84" s="31"/>
      <c r="B84" s="31"/>
      <c r="C84" s="525"/>
      <c r="D84" s="525"/>
      <c r="E84" s="31"/>
      <c r="F84" s="31"/>
      <c r="G84" s="527"/>
      <c r="H84" s="527"/>
    </row>
    <row r="85" spans="1:8">
      <c r="A85" s="31"/>
      <c r="B85" s="31"/>
      <c r="C85" s="525"/>
      <c r="D85" s="525"/>
      <c r="E85" s="31"/>
      <c r="F85" s="31"/>
      <c r="G85" s="527"/>
      <c r="H85" s="527"/>
    </row>
    <row r="86" spans="1:8">
      <c r="A86" s="31"/>
      <c r="B86" s="31"/>
      <c r="C86" s="525"/>
      <c r="D86" s="525"/>
      <c r="E86" s="31"/>
      <c r="F86" s="31"/>
      <c r="G86" s="527"/>
      <c r="H86" s="527"/>
    </row>
    <row r="87" spans="1:8">
      <c r="A87" s="31"/>
      <c r="B87" s="31"/>
      <c r="C87" s="525"/>
      <c r="D87" s="525"/>
      <c r="E87" s="31"/>
      <c r="F87" s="31"/>
      <c r="G87" s="527"/>
      <c r="H87" s="527"/>
    </row>
    <row r="88" spans="1:8">
      <c r="A88" s="31"/>
      <c r="B88" s="31"/>
      <c r="C88" s="525"/>
      <c r="D88" s="525"/>
      <c r="E88" s="31"/>
      <c r="F88" s="31"/>
      <c r="G88" s="527"/>
      <c r="H88" s="527"/>
    </row>
    <row r="89" spans="1:8">
      <c r="A89" s="31"/>
      <c r="B89" s="31"/>
      <c r="C89" s="525"/>
      <c r="D89" s="525"/>
      <c r="E89" s="31"/>
      <c r="F89" s="31"/>
      <c r="G89" s="527"/>
      <c r="H89" s="527"/>
    </row>
    <row r="90" spans="1:8">
      <c r="A90" s="31"/>
      <c r="B90" s="31"/>
      <c r="C90" s="525"/>
      <c r="D90" s="525"/>
      <c r="E90" s="31"/>
      <c r="F90" s="31"/>
      <c r="G90" s="527"/>
      <c r="H90" s="527"/>
    </row>
    <row r="91" spans="1:8">
      <c r="A91" s="31"/>
      <c r="B91" s="31"/>
      <c r="C91" s="525"/>
      <c r="D91" s="525"/>
      <c r="E91" s="31"/>
      <c r="F91" s="31"/>
      <c r="G91" s="527"/>
      <c r="H91" s="527"/>
    </row>
    <row r="92" spans="1:8">
      <c r="A92" s="31"/>
      <c r="B92" s="31"/>
      <c r="C92" s="525"/>
      <c r="D92" s="525"/>
      <c r="E92" s="31"/>
      <c r="F92" s="31"/>
      <c r="G92" s="527"/>
      <c r="H92" s="527"/>
    </row>
    <row r="93" spans="1:8">
      <c r="A93" s="31"/>
      <c r="B93" s="31"/>
      <c r="C93" s="525"/>
      <c r="D93" s="525"/>
      <c r="E93" s="31"/>
      <c r="F93" s="31"/>
      <c r="G93" s="527"/>
      <c r="H93" s="527"/>
    </row>
    <row r="94" spans="1:8">
      <c r="A94" s="31"/>
      <c r="B94" s="31"/>
      <c r="C94" s="525"/>
      <c r="D94" s="525"/>
      <c r="E94" s="31"/>
      <c r="F94" s="31"/>
      <c r="G94" s="527"/>
      <c r="H94" s="527"/>
    </row>
    <row r="95" spans="1:8">
      <c r="A95" s="31"/>
      <c r="B95" s="31"/>
      <c r="C95" s="525"/>
      <c r="D95" s="525"/>
      <c r="E95" s="31"/>
      <c r="F95" s="31"/>
      <c r="G95" s="527"/>
      <c r="H95" s="527"/>
    </row>
    <row r="96" spans="1:8">
      <c r="A96" s="31"/>
      <c r="B96" s="31"/>
      <c r="C96" s="525"/>
      <c r="D96" s="525"/>
      <c r="E96" s="31"/>
      <c r="F96" s="31"/>
      <c r="G96" s="527"/>
      <c r="H96" s="527"/>
    </row>
    <row r="97" spans="1:8">
      <c r="A97" s="31"/>
      <c r="B97" s="31"/>
      <c r="C97" s="525"/>
      <c r="D97" s="525"/>
      <c r="E97" s="31"/>
      <c r="F97" s="31"/>
      <c r="G97" s="527"/>
      <c r="H97" s="527"/>
    </row>
    <row r="98" spans="1:8">
      <c r="A98" s="31"/>
      <c r="B98" s="31"/>
      <c r="C98" s="525"/>
      <c r="D98" s="525"/>
      <c r="E98" s="31"/>
      <c r="F98" s="31"/>
      <c r="G98" s="527"/>
      <c r="H98" s="527"/>
    </row>
    <row r="99" spans="1:8">
      <c r="A99" s="31"/>
      <c r="B99" s="31"/>
      <c r="C99" s="525"/>
      <c r="D99" s="525"/>
      <c r="E99" s="31"/>
      <c r="F99" s="31"/>
      <c r="G99" s="527"/>
      <c r="H99" s="527"/>
    </row>
    <row r="100" spans="1:8">
      <c r="A100" s="31"/>
      <c r="B100" s="31"/>
      <c r="C100" s="525"/>
      <c r="D100" s="525"/>
      <c r="E100" s="31"/>
      <c r="F100" s="31"/>
      <c r="G100" s="527"/>
      <c r="H100" s="527"/>
    </row>
    <row r="101" spans="1:8">
      <c r="A101" s="31"/>
      <c r="B101" s="31"/>
      <c r="C101" s="525"/>
      <c r="D101" s="525"/>
      <c r="E101" s="31"/>
      <c r="F101" s="31"/>
      <c r="G101" s="527"/>
      <c r="H101" s="527"/>
    </row>
    <row r="102" spans="1:8">
      <c r="A102" s="31"/>
      <c r="B102" s="31"/>
      <c r="C102" s="525"/>
      <c r="D102" s="525"/>
      <c r="E102" s="31"/>
      <c r="F102" s="31"/>
      <c r="G102" s="527"/>
      <c r="H102" s="527"/>
    </row>
    <row r="103" spans="1:8">
      <c r="A103" s="31"/>
      <c r="B103" s="31"/>
      <c r="C103" s="525"/>
      <c r="D103" s="525"/>
      <c r="E103" s="31"/>
      <c r="F103" s="31"/>
      <c r="G103" s="527"/>
      <c r="H103" s="527"/>
    </row>
    <row r="104" spans="1:8">
      <c r="A104" s="31"/>
      <c r="B104" s="31"/>
      <c r="C104" s="525"/>
      <c r="D104" s="525"/>
      <c r="E104" s="31"/>
      <c r="F104" s="31"/>
      <c r="G104" s="527"/>
      <c r="H104" s="527"/>
    </row>
    <row r="105" spans="1:8">
      <c r="A105" s="31"/>
      <c r="B105" s="31"/>
      <c r="C105" s="525"/>
      <c r="D105" s="525"/>
      <c r="E105" s="31"/>
      <c r="F105" s="31"/>
      <c r="G105" s="527"/>
      <c r="H105" s="527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DE3D9EAF-1767-451E-80FE-3028500A9C7F}" scale="90" fitToPage="1"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1"/>
      <headerFooter alignWithMargins="0"/>
    </customSheetView>
    <customSheetView guid="{17A0B690-90B4-478F-B629-540D801E18FD}" scale="80" fitToPage="1" topLeftCell="B19">
      <selection activeCell="E49" sqref="E49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2"/>
      <headerFooter alignWithMargins="0"/>
    </customSheetView>
    <customSheetView guid="{07871067-5294-4FEE-88CE-4A4A5BC97EF0}" scale="80" fitToPage="1" topLeftCell="A19">
      <selection activeCell="G27" sqref="G27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3"/>
      <headerFooter alignWithMargins="0"/>
    </customSheetView>
    <customSheetView guid="{F2D4D9F9-DE61-45A3-92A2-4E78F2B34B7F}" scale="80" showPageBreaks="1" fitToPage="1" printArea="1" topLeftCell="B19">
      <selection activeCell="E49" sqref="E49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4"/>
      <headerFooter alignWithMargins="0"/>
    </customSheetView>
  </customSheetViews>
  <mergeCells count="11">
    <mergeCell ref="B58:E58"/>
    <mergeCell ref="A47:E47"/>
    <mergeCell ref="B50:H50"/>
    <mergeCell ref="B53:H53"/>
    <mergeCell ref="B56:H56"/>
    <mergeCell ref="B57:E57"/>
    <mergeCell ref="B59:E59"/>
    <mergeCell ref="B60:E60"/>
    <mergeCell ref="B61:E61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3"/>
  <sheetViews>
    <sheetView zoomScale="90" zoomScaleNormal="90" workbookViewId="0"/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0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1"/>
      <c r="C5" s="74"/>
      <c r="D5" s="75"/>
      <c r="E5" s="161"/>
    </row>
    <row r="6" spans="1:13">
      <c r="A6" s="70" t="str">
        <f>CONCATENATE("към ",TEXT(endDate,"dd.mm.yyyy")," г.")</f>
        <v>към 30.09.2021 г.</v>
      </c>
      <c r="B6" s="47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2" t="s">
        <v>17</v>
      </c>
      <c r="B9" s="273" t="s">
        <v>18</v>
      </c>
      <c r="C9" s="274">
        <v>1</v>
      </c>
      <c r="D9" s="275">
        <v>2</v>
      </c>
      <c r="E9" s="167"/>
      <c r="F9" s="167"/>
    </row>
    <row r="10" spans="1:13">
      <c r="A10" s="278" t="s">
        <v>377</v>
      </c>
      <c r="B10" s="279"/>
      <c r="C10" s="280"/>
      <c r="D10" s="281"/>
      <c r="E10" s="168"/>
      <c r="F10" s="168"/>
    </row>
    <row r="11" spans="1:13">
      <c r="A11" s="268" t="s">
        <v>378</v>
      </c>
      <c r="B11" s="169" t="s">
        <v>379</v>
      </c>
      <c r="C11" s="660">
        <v>1187535</v>
      </c>
      <c r="D11" s="696">
        <v>950167</v>
      </c>
      <c r="E11" s="168"/>
      <c r="F11" s="168"/>
    </row>
    <row r="12" spans="1:13">
      <c r="A12" s="268" t="s">
        <v>380</v>
      </c>
      <c r="B12" s="169" t="s">
        <v>381</v>
      </c>
      <c r="C12" s="660">
        <v>-1087152</v>
      </c>
      <c r="D12" s="696">
        <v>-940052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60"/>
      <c r="D13" s="69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0">
        <v>-108355</v>
      </c>
      <c r="D14" s="696">
        <v>-90114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0">
        <v>-49509</v>
      </c>
      <c r="D15" s="696">
        <v>-43913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0">
        <v>-6194</v>
      </c>
      <c r="D16" s="696">
        <v>-6276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0"/>
      <c r="D17" s="69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60">
        <v>-5604</v>
      </c>
      <c r="D18" s="696">
        <v>-6962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0">
        <v>537</v>
      </c>
      <c r="D19" s="696">
        <v>-1813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0">
        <v>-1699</v>
      </c>
      <c r="D20" s="696">
        <v>-2114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2" t="s">
        <v>398</v>
      </c>
      <c r="B21" s="283" t="s">
        <v>399</v>
      </c>
      <c r="C21" s="615">
        <f>SUM(C11:C20)</f>
        <v>-70441</v>
      </c>
      <c r="D21" s="616">
        <f>SUM(D11:D20)</f>
        <v>-141077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8" t="s">
        <v>400</v>
      </c>
      <c r="B22" s="284"/>
      <c r="C22" s="280"/>
      <c r="D22" s="281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0">
        <v>-19172</v>
      </c>
      <c r="D23" s="696">
        <v>-26854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0">
        <v>1559</v>
      </c>
      <c r="D24" s="696">
        <v>1676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0">
        <v>-4567</v>
      </c>
      <c r="D25" s="696">
        <v>-4832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0">
        <v>12801</v>
      </c>
      <c r="D26" s="696">
        <v>38771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0">
        <v>2411</v>
      </c>
      <c r="D27" s="696">
        <v>1717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0">
        <v>-5498</v>
      </c>
      <c r="D28" s="696">
        <v>-9556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0">
        <v>2675</v>
      </c>
      <c r="D29" s="696">
        <v>54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0">
        <v>451</v>
      </c>
      <c r="D30" s="696">
        <v>61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0"/>
      <c r="D31" s="69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0">
        <v>21</v>
      </c>
      <c r="D32" s="69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2" t="s">
        <v>420</v>
      </c>
      <c r="B33" s="283" t="s">
        <v>421</v>
      </c>
      <c r="C33" s="615">
        <f>SUM(C23:C32)</f>
        <v>-9319</v>
      </c>
      <c r="D33" s="616">
        <f>SUM(D23:D32)</f>
        <v>1037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6" t="s">
        <v>422</v>
      </c>
      <c r="B34" s="277"/>
      <c r="C34" s="613"/>
      <c r="D34" s="614"/>
      <c r="E34" s="168"/>
      <c r="F34" s="168"/>
    </row>
    <row r="35" spans="1:13">
      <c r="A35" s="268" t="s">
        <v>423</v>
      </c>
      <c r="B35" s="169" t="s">
        <v>424</v>
      </c>
      <c r="C35" s="660">
        <v>0</v>
      </c>
      <c r="D35" s="696">
        <v>37</v>
      </c>
      <c r="E35" s="168"/>
      <c r="F35" s="168"/>
    </row>
    <row r="36" spans="1:13">
      <c r="A36" s="269" t="s">
        <v>425</v>
      </c>
      <c r="B36" s="169" t="s">
        <v>426</v>
      </c>
      <c r="C36" s="660">
        <v>-4079</v>
      </c>
      <c r="D36" s="698">
        <v>543</v>
      </c>
      <c r="E36" s="168"/>
      <c r="F36" s="168"/>
    </row>
    <row r="37" spans="1:13">
      <c r="A37" s="268" t="s">
        <v>427</v>
      </c>
      <c r="B37" s="169" t="s">
        <v>428</v>
      </c>
      <c r="C37" s="660">
        <v>15051</v>
      </c>
      <c r="D37" s="696">
        <v>23151</v>
      </c>
      <c r="E37" s="168"/>
      <c r="F37" s="168"/>
    </row>
    <row r="38" spans="1:13">
      <c r="A38" s="268" t="s">
        <v>429</v>
      </c>
      <c r="B38" s="169" t="s">
        <v>430</v>
      </c>
      <c r="C38" s="660">
        <v>-85643</v>
      </c>
      <c r="D38" s="696">
        <v>-37851</v>
      </c>
      <c r="E38" s="168"/>
      <c r="F38" s="168"/>
    </row>
    <row r="39" spans="1:13">
      <c r="A39" s="268" t="s">
        <v>431</v>
      </c>
      <c r="B39" s="169" t="s">
        <v>432</v>
      </c>
      <c r="C39" s="660">
        <v>-15957</v>
      </c>
      <c r="D39" s="696">
        <v>-11363</v>
      </c>
      <c r="E39" s="168"/>
      <c r="F39" s="168"/>
    </row>
    <row r="40" spans="1:13" ht="31.5">
      <c r="A40" s="268" t="s">
        <v>433</v>
      </c>
      <c r="B40" s="169" t="s">
        <v>434</v>
      </c>
      <c r="C40" s="660">
        <v>-1706</v>
      </c>
      <c r="D40" s="696">
        <v>-1255</v>
      </c>
      <c r="E40" s="168"/>
      <c r="F40" s="168"/>
    </row>
    <row r="41" spans="1:13">
      <c r="A41" s="268" t="s">
        <v>435</v>
      </c>
      <c r="B41" s="169" t="s">
        <v>436</v>
      </c>
      <c r="C41" s="660">
        <v>-32</v>
      </c>
      <c r="D41" s="696">
        <v>-17646</v>
      </c>
      <c r="E41" s="168"/>
      <c r="F41" s="168"/>
    </row>
    <row r="42" spans="1:13">
      <c r="A42" s="268" t="s">
        <v>437</v>
      </c>
      <c r="B42" s="169" t="s">
        <v>438</v>
      </c>
      <c r="C42" s="660">
        <v>169173</v>
      </c>
      <c r="D42" s="696">
        <v>178873</v>
      </c>
      <c r="E42" s="168"/>
      <c r="F42" s="168"/>
      <c r="G42" s="171"/>
      <c r="H42" s="171"/>
    </row>
    <row r="43" spans="1:13" ht="16.5" thickBot="1">
      <c r="A43" s="285" t="s">
        <v>439</v>
      </c>
      <c r="B43" s="286" t="s">
        <v>440</v>
      </c>
      <c r="C43" s="617">
        <f>SUM(C35:C42)</f>
        <v>76807</v>
      </c>
      <c r="D43" s="618">
        <f>SUM(D35:D42)</f>
        <v>134489</v>
      </c>
      <c r="E43" s="168"/>
      <c r="F43" s="168"/>
      <c r="G43" s="171"/>
      <c r="H43" s="171"/>
    </row>
    <row r="44" spans="1:13" ht="16.5" thickBot="1">
      <c r="A44" s="288" t="s">
        <v>441</v>
      </c>
      <c r="B44" s="289" t="s">
        <v>442</v>
      </c>
      <c r="C44" s="295">
        <f>C43+C33+C21</f>
        <v>-2953</v>
      </c>
      <c r="D44" s="296">
        <f>D43+D33+D21</f>
        <v>-5551</v>
      </c>
      <c r="E44" s="168"/>
      <c r="F44" s="168"/>
      <c r="G44" s="171"/>
      <c r="H44" s="171"/>
    </row>
    <row r="45" spans="1:13" ht="16.5" thickBot="1">
      <c r="A45" s="290" t="s">
        <v>443</v>
      </c>
      <c r="B45" s="291" t="s">
        <v>444</v>
      </c>
      <c r="C45" s="297">
        <v>25139</v>
      </c>
      <c r="D45" s="298">
        <v>27362</v>
      </c>
      <c r="E45" s="168"/>
      <c r="F45" s="168"/>
      <c r="G45" s="171"/>
      <c r="H45" s="171"/>
    </row>
    <row r="46" spans="1:13" ht="16.5" thickBot="1">
      <c r="A46" s="293" t="s">
        <v>445</v>
      </c>
      <c r="B46" s="294" t="s">
        <v>446</v>
      </c>
      <c r="C46" s="299">
        <f>C45+C44</f>
        <v>22186</v>
      </c>
      <c r="D46" s="300">
        <f>D45+D44</f>
        <v>21811</v>
      </c>
      <c r="E46" s="168"/>
      <c r="F46" s="168"/>
      <c r="G46" s="171"/>
      <c r="H46" s="171"/>
    </row>
    <row r="47" spans="1:13">
      <c r="A47" s="292" t="s">
        <v>447</v>
      </c>
      <c r="B47" s="301" t="s">
        <v>448</v>
      </c>
      <c r="C47" s="287">
        <v>22186</v>
      </c>
      <c r="D47" s="699">
        <v>21811</v>
      </c>
      <c r="E47" s="168"/>
      <c r="F47" s="168"/>
      <c r="G47" s="171"/>
      <c r="H47" s="171"/>
    </row>
    <row r="48" spans="1:13" ht="16.5" thickBot="1">
      <c r="A48" s="270" t="s">
        <v>449</v>
      </c>
      <c r="B48" s="302" t="s">
        <v>450</v>
      </c>
      <c r="C48" s="271">
        <v>6</v>
      </c>
      <c r="D48" s="700">
        <v>155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7" t="s">
        <v>941</v>
      </c>
      <c r="G50" s="171"/>
      <c r="H50" s="171"/>
    </row>
    <row r="51" spans="1:13">
      <c r="A51" s="710" t="s">
        <v>947</v>
      </c>
      <c r="B51" s="710"/>
      <c r="C51" s="710"/>
      <c r="D51" s="710"/>
      <c r="G51" s="171"/>
      <c r="H51" s="171"/>
    </row>
    <row r="52" spans="1:13">
      <c r="A52" s="648"/>
      <c r="B52" s="648"/>
      <c r="C52" s="648"/>
      <c r="D52" s="648"/>
      <c r="G52" s="171"/>
      <c r="H52" s="171"/>
    </row>
    <row r="53" spans="1:13">
      <c r="A53" s="648"/>
      <c r="B53" s="648"/>
      <c r="C53" s="648"/>
      <c r="D53" s="648"/>
      <c r="G53" s="171"/>
      <c r="H53" s="171"/>
    </row>
    <row r="54" spans="1:13" s="41" customFormat="1">
      <c r="A54" s="649" t="s">
        <v>950</v>
      </c>
      <c r="B54" s="705">
        <f>pdeReportingDate</f>
        <v>44529</v>
      </c>
      <c r="C54" s="705"/>
      <c r="D54" s="705"/>
      <c r="E54" s="705"/>
      <c r="F54" s="652"/>
      <c r="G54" s="652"/>
      <c r="H54" s="652"/>
      <c r="M54" s="92"/>
    </row>
    <row r="55" spans="1:13" s="41" customFormat="1">
      <c r="A55" s="649"/>
      <c r="B55" s="671"/>
      <c r="C55" s="671"/>
      <c r="D55" s="671"/>
      <c r="E55" s="671"/>
      <c r="F55" s="652"/>
      <c r="G55" s="652"/>
      <c r="H55" s="652"/>
      <c r="M55" s="92"/>
    </row>
    <row r="56" spans="1:13" s="41" customFormat="1">
      <c r="A56" s="649"/>
      <c r="B56" s="705"/>
      <c r="C56" s="705"/>
      <c r="D56" s="705"/>
      <c r="E56" s="705"/>
      <c r="F56" s="51"/>
      <c r="G56" s="51"/>
      <c r="H56" s="51"/>
      <c r="M56" s="92"/>
    </row>
    <row r="57" spans="1:13" s="41" customFormat="1">
      <c r="A57" s="650" t="s">
        <v>8</v>
      </c>
      <c r="B57" s="706" t="str">
        <f>authorName</f>
        <v>Людмила Бонджова</v>
      </c>
      <c r="C57" s="706"/>
      <c r="D57" s="706"/>
      <c r="E57" s="706"/>
      <c r="F57" s="75"/>
      <c r="G57" s="75"/>
      <c r="H57" s="75"/>
    </row>
    <row r="58" spans="1:13" s="41" customFormat="1">
      <c r="A58" s="650"/>
      <c r="B58" s="672"/>
      <c r="C58" s="672"/>
      <c r="D58" s="672"/>
      <c r="E58" s="672"/>
      <c r="F58" s="672"/>
      <c r="G58" s="672"/>
      <c r="H58" s="672"/>
    </row>
    <row r="59" spans="1:13" s="41" customFormat="1">
      <c r="A59" s="650"/>
      <c r="B59" s="706"/>
      <c r="C59" s="706"/>
      <c r="D59" s="706"/>
      <c r="E59" s="706"/>
      <c r="F59" s="75"/>
      <c r="G59" s="75"/>
      <c r="H59" s="75"/>
    </row>
    <row r="60" spans="1:13" s="41" customFormat="1">
      <c r="A60" s="650" t="s">
        <v>894</v>
      </c>
      <c r="B60" s="706"/>
      <c r="C60" s="706"/>
      <c r="D60" s="706"/>
      <c r="E60" s="706"/>
      <c r="F60" s="75"/>
      <c r="G60" s="75"/>
      <c r="H60" s="75"/>
    </row>
    <row r="61" spans="1:13" s="182" customFormat="1">
      <c r="A61" s="651"/>
      <c r="B61" s="708" t="str">
        <f>+Начална!B17</f>
        <v>Огнян Донев</v>
      </c>
      <c r="C61" s="704"/>
      <c r="D61" s="704"/>
      <c r="E61" s="704"/>
      <c r="F61" s="533"/>
      <c r="G61" s="44"/>
      <c r="H61" s="41"/>
    </row>
    <row r="62" spans="1:13">
      <c r="A62" s="651"/>
      <c r="B62" s="704"/>
      <c r="C62" s="704"/>
      <c r="D62" s="704"/>
      <c r="E62" s="704"/>
      <c r="F62" s="533"/>
      <c r="G62" s="44"/>
      <c r="H62" s="41"/>
    </row>
    <row r="63" spans="1:13">
      <c r="A63" s="651"/>
      <c r="B63" s="704"/>
      <c r="C63" s="704"/>
      <c r="D63" s="704"/>
      <c r="E63" s="704"/>
      <c r="F63" s="533"/>
      <c r="G63" s="44"/>
      <c r="H63" s="41"/>
    </row>
    <row r="64" spans="1:13">
      <c r="A64" s="651"/>
      <c r="B64" s="704"/>
      <c r="C64" s="704"/>
      <c r="D64" s="704"/>
      <c r="E64" s="704"/>
      <c r="F64" s="533"/>
      <c r="G64" s="44"/>
      <c r="H64" s="41"/>
    </row>
    <row r="65" spans="1:8">
      <c r="A65" s="651"/>
      <c r="B65" s="704"/>
      <c r="C65" s="704"/>
      <c r="D65" s="704"/>
      <c r="E65" s="704"/>
      <c r="F65" s="533"/>
      <c r="G65" s="44"/>
      <c r="H65" s="41"/>
    </row>
    <row r="66" spans="1:8">
      <c r="A66" s="651"/>
      <c r="B66" s="704"/>
      <c r="C66" s="704"/>
      <c r="D66" s="704"/>
      <c r="E66" s="704"/>
      <c r="F66" s="533"/>
      <c r="G66" s="44"/>
      <c r="H66" s="41"/>
    </row>
    <row r="67" spans="1:8">
      <c r="A67" s="651"/>
      <c r="B67" s="704"/>
      <c r="C67" s="704"/>
      <c r="D67" s="704"/>
      <c r="E67" s="704"/>
      <c r="F67" s="533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DE3D9EAF-1767-451E-80FE-3028500A9C7F}" scale="90" fitToPage="1"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1"/>
      <headerFooter alignWithMargins="0"/>
    </customSheetView>
    <customSheetView guid="{17A0B690-90B4-478F-B629-540D801E18FD}" scale="80" fitToPage="1">
      <selection activeCell="D49" sqref="D49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2"/>
      <headerFooter alignWithMargins="0"/>
    </customSheetView>
    <customSheetView guid="{07871067-5294-4FEE-88CE-4A4A5BC97EF0}" scale="80" fitToPage="1">
      <selection activeCell="D49" sqref="D49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3"/>
      <headerFooter alignWithMargins="0"/>
    </customSheetView>
    <customSheetView guid="{F2D4D9F9-DE61-45A3-92A2-4E78F2B34B7F}" scale="80" showPageBreaks="1" fitToPage="1">
      <selection activeCell="D49" sqref="D49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4"/>
      <headerFooter alignWithMargins="0"/>
    </customSheetView>
  </customSheetViews>
  <mergeCells count="13">
    <mergeCell ref="A51:D51"/>
    <mergeCell ref="B61:E61"/>
    <mergeCell ref="B62:E62"/>
    <mergeCell ref="B63:E63"/>
    <mergeCell ref="B64:E64"/>
    <mergeCell ref="B66:E66"/>
    <mergeCell ref="B67:E67"/>
    <mergeCell ref="B54:E54"/>
    <mergeCell ref="B56:E56"/>
    <mergeCell ref="B57:E57"/>
    <mergeCell ref="B59:E59"/>
    <mergeCell ref="B60:E60"/>
    <mergeCell ref="B65:E6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3" orientation="portrait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537"/>
  <sheetViews>
    <sheetView zoomScale="90" zoomScaleNormal="90" workbookViewId="0"/>
  </sheetViews>
  <sheetFormatPr defaultColWidth="9.28515625" defaultRowHeight="15.75"/>
  <cols>
    <col min="1" max="1" width="50.7109375" style="521" customWidth="1"/>
    <col min="2" max="2" width="10.7109375" style="52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6"/>
      <c r="H4" s="486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7"/>
      <c r="C5" s="488"/>
      <c r="D5" s="488"/>
      <c r="E5" s="488"/>
      <c r="F5" s="488"/>
      <c r="G5" s="488"/>
      <c r="H5" s="488"/>
      <c r="I5" s="42"/>
      <c r="K5" s="74"/>
      <c r="L5" s="75"/>
    </row>
    <row r="6" spans="1:14">
      <c r="A6" s="70" t="str">
        <f>CONCATENATE("към ",TEXT(endDate,"dd.mm.yyyy")," г.")</f>
        <v>към 30.09.2021 г.</v>
      </c>
      <c r="B6" s="27"/>
      <c r="C6" s="64"/>
      <c r="D6" s="64"/>
      <c r="E6" s="64"/>
      <c r="F6" s="65"/>
      <c r="G6" s="486"/>
      <c r="H6" s="48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2" customFormat="1" ht="31.5">
      <c r="A8" s="715" t="s">
        <v>453</v>
      </c>
      <c r="B8" s="718" t="s">
        <v>454</v>
      </c>
      <c r="C8" s="711" t="s">
        <v>455</v>
      </c>
      <c r="D8" s="489" t="s">
        <v>451</v>
      </c>
      <c r="E8" s="489"/>
      <c r="F8" s="489"/>
      <c r="G8" s="489"/>
      <c r="H8" s="489"/>
      <c r="I8" s="489" t="s">
        <v>452</v>
      </c>
      <c r="J8" s="489"/>
      <c r="K8" s="711" t="s">
        <v>460</v>
      </c>
      <c r="L8" s="711" t="s">
        <v>461</v>
      </c>
      <c r="M8" s="490"/>
      <c r="N8" s="491"/>
    </row>
    <row r="9" spans="1:14" s="492" customFormat="1" ht="31.5">
      <c r="A9" s="716"/>
      <c r="B9" s="719"/>
      <c r="C9" s="712"/>
      <c r="D9" s="714" t="s">
        <v>802</v>
      </c>
      <c r="E9" s="714" t="s">
        <v>456</v>
      </c>
      <c r="F9" s="494" t="s">
        <v>457</v>
      </c>
      <c r="G9" s="494"/>
      <c r="H9" s="494"/>
      <c r="I9" s="721" t="s">
        <v>458</v>
      </c>
      <c r="J9" s="721" t="s">
        <v>459</v>
      </c>
      <c r="K9" s="712"/>
      <c r="L9" s="712"/>
      <c r="M9" s="495" t="s">
        <v>801</v>
      </c>
      <c r="N9" s="491"/>
    </row>
    <row r="10" spans="1:14" s="492" customFormat="1" ht="31.5">
      <c r="A10" s="717"/>
      <c r="B10" s="720"/>
      <c r="C10" s="713"/>
      <c r="D10" s="714"/>
      <c r="E10" s="714"/>
      <c r="F10" s="493" t="s">
        <v>462</v>
      </c>
      <c r="G10" s="493" t="s">
        <v>463</v>
      </c>
      <c r="H10" s="493" t="s">
        <v>464</v>
      </c>
      <c r="I10" s="713"/>
      <c r="J10" s="713"/>
      <c r="K10" s="713"/>
      <c r="L10" s="713"/>
      <c r="M10" s="496"/>
      <c r="N10" s="491"/>
    </row>
    <row r="11" spans="1:14" s="492" customFormat="1" ht="16.5" thickBot="1">
      <c r="A11" s="497" t="s">
        <v>17</v>
      </c>
      <c r="B11" s="498"/>
      <c r="C11" s="499">
        <v>1</v>
      </c>
      <c r="D11" s="499">
        <v>2</v>
      </c>
      <c r="E11" s="499">
        <v>3</v>
      </c>
      <c r="F11" s="499">
        <v>4</v>
      </c>
      <c r="G11" s="499">
        <v>5</v>
      </c>
      <c r="H11" s="499">
        <v>6</v>
      </c>
      <c r="I11" s="499">
        <v>7</v>
      </c>
      <c r="J11" s="499">
        <v>8</v>
      </c>
      <c r="K11" s="499">
        <v>9</v>
      </c>
      <c r="L11" s="499">
        <v>10</v>
      </c>
      <c r="M11" s="500">
        <v>11</v>
      </c>
      <c r="N11" s="501"/>
    </row>
    <row r="12" spans="1:14" s="492" customFormat="1">
      <c r="A12" s="502" t="s">
        <v>465</v>
      </c>
      <c r="B12" s="503"/>
      <c r="C12" s="303" t="s">
        <v>48</v>
      </c>
      <c r="D12" s="303" t="s">
        <v>48</v>
      </c>
      <c r="E12" s="303" t="s">
        <v>59</v>
      </c>
      <c r="F12" s="303" t="s">
        <v>66</v>
      </c>
      <c r="G12" s="303" t="s">
        <v>70</v>
      </c>
      <c r="H12" s="303" t="s">
        <v>74</v>
      </c>
      <c r="I12" s="303" t="s">
        <v>87</v>
      </c>
      <c r="J12" s="303" t="s">
        <v>90</v>
      </c>
      <c r="K12" s="504" t="s">
        <v>466</v>
      </c>
      <c r="L12" s="503" t="s">
        <v>112</v>
      </c>
      <c r="M12" s="505" t="s">
        <v>120</v>
      </c>
      <c r="N12" s="501"/>
    </row>
    <row r="13" spans="1:14">
      <c r="A13" s="506" t="s">
        <v>467</v>
      </c>
      <c r="B13" s="507" t="s">
        <v>468</v>
      </c>
      <c r="C13" s="542">
        <f>'1-Баланс'!H18</f>
        <v>101142</v>
      </c>
      <c r="D13" s="542">
        <f>'1-Баланс'!H20</f>
        <v>0</v>
      </c>
      <c r="E13" s="542">
        <f>'1-Баланс'!H21</f>
        <v>28022</v>
      </c>
      <c r="F13" s="542">
        <f>'1-Баланс'!H23</f>
        <v>63335</v>
      </c>
      <c r="G13" s="542">
        <f>'1-Баланс'!H24</f>
        <v>0</v>
      </c>
      <c r="H13" s="543"/>
      <c r="I13" s="542">
        <f>'1-Баланс'!H29+'1-Баланс'!H32</f>
        <v>360770</v>
      </c>
      <c r="J13" s="542">
        <f>'1-Баланс'!H30+'1-Баланс'!H33</f>
        <v>0</v>
      </c>
      <c r="K13" s="543"/>
      <c r="L13" s="542">
        <f>SUM(C13:K13)</f>
        <v>553269</v>
      </c>
      <c r="M13" s="544">
        <f>'1-Баланс'!H40</f>
        <v>13326</v>
      </c>
      <c r="N13" s="157"/>
    </row>
    <row r="14" spans="1:14">
      <c r="A14" s="506" t="s">
        <v>469</v>
      </c>
      <c r="B14" s="50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07">
        <f t="shared" ref="L14:L34" si="1">SUM(C14:K14)</f>
        <v>0</v>
      </c>
      <c r="M14" s="304">
        <f t="shared" si="0"/>
        <v>0</v>
      </c>
      <c r="N14" s="160"/>
    </row>
    <row r="15" spans="1:14">
      <c r="A15" s="508" t="s">
        <v>471</v>
      </c>
      <c r="B15" s="509" t="s">
        <v>472</v>
      </c>
      <c r="C15" s="305"/>
      <c r="D15" s="305"/>
      <c r="E15" s="305"/>
      <c r="F15" s="305"/>
      <c r="G15" s="305"/>
      <c r="H15" s="305"/>
      <c r="I15" s="305"/>
      <c r="J15" s="305"/>
      <c r="K15" s="305"/>
      <c r="L15" s="542">
        <f t="shared" si="1"/>
        <v>0</v>
      </c>
      <c r="M15" s="306"/>
      <c r="N15" s="160"/>
    </row>
    <row r="16" spans="1:14">
      <c r="A16" s="508" t="s">
        <v>473</v>
      </c>
      <c r="B16" s="509" t="s">
        <v>474</v>
      </c>
      <c r="C16" s="305"/>
      <c r="D16" s="305"/>
      <c r="E16" s="305"/>
      <c r="F16" s="305"/>
      <c r="G16" s="305"/>
      <c r="H16" s="305"/>
      <c r="I16" s="305"/>
      <c r="J16" s="305"/>
      <c r="K16" s="305"/>
      <c r="L16" s="542">
        <f t="shared" si="1"/>
        <v>0</v>
      </c>
      <c r="M16" s="306"/>
      <c r="N16" s="160"/>
    </row>
    <row r="17" spans="1:14" ht="31.5">
      <c r="A17" s="506" t="s">
        <v>475</v>
      </c>
      <c r="B17" s="507" t="s">
        <v>476</v>
      </c>
      <c r="C17" s="610">
        <f>C13+C14</f>
        <v>101142</v>
      </c>
      <c r="D17" s="610">
        <f t="shared" ref="D17:M17" si="2">D13+D14</f>
        <v>0</v>
      </c>
      <c r="E17" s="610">
        <f t="shared" si="2"/>
        <v>28022</v>
      </c>
      <c r="F17" s="610">
        <f t="shared" si="2"/>
        <v>63335</v>
      </c>
      <c r="G17" s="610">
        <f t="shared" si="2"/>
        <v>0</v>
      </c>
      <c r="H17" s="610">
        <f t="shared" si="2"/>
        <v>0</v>
      </c>
      <c r="I17" s="610">
        <f t="shared" si="2"/>
        <v>360770</v>
      </c>
      <c r="J17" s="610">
        <f t="shared" si="2"/>
        <v>0</v>
      </c>
      <c r="K17" s="610">
        <f t="shared" si="2"/>
        <v>0</v>
      </c>
      <c r="L17" s="542">
        <f t="shared" si="1"/>
        <v>553269</v>
      </c>
      <c r="M17" s="611">
        <f t="shared" si="2"/>
        <v>13326</v>
      </c>
      <c r="N17" s="160"/>
    </row>
    <row r="18" spans="1:14">
      <c r="A18" s="506" t="s">
        <v>477</v>
      </c>
      <c r="B18" s="507" t="s">
        <v>478</v>
      </c>
      <c r="C18" s="612"/>
      <c r="D18" s="612"/>
      <c r="E18" s="612"/>
      <c r="F18" s="612"/>
      <c r="G18" s="612"/>
      <c r="H18" s="612"/>
      <c r="I18" s="542">
        <f>+'1-Баланс'!G32</f>
        <v>50528</v>
      </c>
      <c r="J18" s="542">
        <f>+'1-Баланс'!G33</f>
        <v>0</v>
      </c>
      <c r="K18" s="543"/>
      <c r="L18" s="542">
        <f t="shared" si="1"/>
        <v>50528</v>
      </c>
      <c r="M18" s="596">
        <v>2969</v>
      </c>
      <c r="N18" s="160"/>
    </row>
    <row r="19" spans="1:14">
      <c r="A19" s="508" t="s">
        <v>479</v>
      </c>
      <c r="B19" s="50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2866</v>
      </c>
      <c r="G19" s="159">
        <f t="shared" si="3"/>
        <v>0</v>
      </c>
      <c r="H19" s="159">
        <f t="shared" si="3"/>
        <v>0</v>
      </c>
      <c r="I19" s="159">
        <f t="shared" si="3"/>
        <v>-2866</v>
      </c>
      <c r="J19" s="159">
        <f>J20+J21</f>
        <v>0</v>
      </c>
      <c r="K19" s="159">
        <f t="shared" si="3"/>
        <v>0</v>
      </c>
      <c r="L19" s="542">
        <f t="shared" si="1"/>
        <v>0</v>
      </c>
      <c r="M19" s="304">
        <f>M20+M21</f>
        <v>0</v>
      </c>
      <c r="N19" s="160"/>
    </row>
    <row r="20" spans="1:14">
      <c r="A20" s="510" t="s">
        <v>481</v>
      </c>
      <c r="B20" s="511" t="s">
        <v>482</v>
      </c>
      <c r="C20" s="305"/>
      <c r="D20" s="305"/>
      <c r="E20" s="305"/>
      <c r="F20" s="305"/>
      <c r="G20" s="305"/>
      <c r="H20" s="305"/>
      <c r="I20" s="305"/>
      <c r="J20" s="305"/>
      <c r="K20" s="305"/>
      <c r="L20" s="542">
        <f>SUM(C20:K20)</f>
        <v>0</v>
      </c>
      <c r="M20" s="306"/>
      <c r="N20" s="160"/>
    </row>
    <row r="21" spans="1:14">
      <c r="A21" s="510" t="s">
        <v>483</v>
      </c>
      <c r="B21" s="511" t="s">
        <v>484</v>
      </c>
      <c r="C21" s="305"/>
      <c r="D21" s="305"/>
      <c r="E21" s="305"/>
      <c r="F21" s="305">
        <v>2866</v>
      </c>
      <c r="G21" s="305"/>
      <c r="H21" s="305"/>
      <c r="I21" s="305">
        <v>-2866</v>
      </c>
      <c r="J21" s="305"/>
      <c r="K21" s="305"/>
      <c r="L21" s="542">
        <f t="shared" si="1"/>
        <v>0</v>
      </c>
      <c r="M21" s="306"/>
      <c r="N21" s="160"/>
    </row>
    <row r="22" spans="1:14">
      <c r="A22" s="508" t="s">
        <v>485</v>
      </c>
      <c r="B22" s="509" t="s">
        <v>486</v>
      </c>
      <c r="C22" s="305"/>
      <c r="D22" s="305"/>
      <c r="E22" s="305"/>
      <c r="F22" s="305"/>
      <c r="G22" s="305"/>
      <c r="H22" s="305"/>
      <c r="I22" s="305"/>
      <c r="J22" s="305"/>
      <c r="K22" s="305"/>
      <c r="L22" s="542">
        <f t="shared" si="1"/>
        <v>0</v>
      </c>
      <c r="M22" s="306"/>
      <c r="N22" s="160"/>
    </row>
    <row r="23" spans="1:14" ht="31.5">
      <c r="A23" s="508" t="s">
        <v>487</v>
      </c>
      <c r="B23" s="50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-52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2">
        <f t="shared" si="1"/>
        <v>-52</v>
      </c>
      <c r="M23" s="304">
        <f t="shared" si="4"/>
        <v>-16</v>
      </c>
      <c r="N23" s="160"/>
    </row>
    <row r="24" spans="1:14">
      <c r="A24" s="508" t="s">
        <v>489</v>
      </c>
      <c r="B24" s="509" t="s">
        <v>490</v>
      </c>
      <c r="C24" s="305"/>
      <c r="D24" s="305"/>
      <c r="E24" s="305"/>
      <c r="F24" s="305"/>
      <c r="G24" s="305"/>
      <c r="H24" s="305"/>
      <c r="I24" s="305"/>
      <c r="J24" s="305"/>
      <c r="K24" s="305"/>
      <c r="L24" s="542">
        <f t="shared" si="1"/>
        <v>0</v>
      </c>
      <c r="M24" s="306"/>
      <c r="N24" s="160"/>
    </row>
    <row r="25" spans="1:14">
      <c r="A25" s="508" t="s">
        <v>491</v>
      </c>
      <c r="B25" s="509" t="s">
        <v>492</v>
      </c>
      <c r="C25" s="305"/>
      <c r="D25" s="305"/>
      <c r="E25" s="305">
        <v>52</v>
      </c>
      <c r="F25" s="305"/>
      <c r="G25" s="305"/>
      <c r="H25" s="305"/>
      <c r="I25" s="305"/>
      <c r="J25" s="305"/>
      <c r="K25" s="305"/>
      <c r="L25" s="542">
        <f t="shared" si="1"/>
        <v>52</v>
      </c>
      <c r="M25" s="306">
        <v>16</v>
      </c>
      <c r="N25" s="160"/>
    </row>
    <row r="26" spans="1:14" ht="31.5">
      <c r="A26" s="508" t="s">
        <v>493</v>
      </c>
      <c r="B26" s="50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-149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2">
        <f t="shared" si="1"/>
        <v>-149</v>
      </c>
      <c r="M26" s="304">
        <f t="shared" si="5"/>
        <v>0</v>
      </c>
      <c r="N26" s="160"/>
    </row>
    <row r="27" spans="1:14">
      <c r="A27" s="508" t="s">
        <v>489</v>
      </c>
      <c r="B27" s="509" t="s">
        <v>495</v>
      </c>
      <c r="C27" s="305"/>
      <c r="D27" s="305"/>
      <c r="E27" s="305">
        <v>742</v>
      </c>
      <c r="F27" s="305"/>
      <c r="G27" s="305"/>
      <c r="H27" s="305"/>
      <c r="I27" s="305"/>
      <c r="J27" s="305"/>
      <c r="K27" s="305"/>
      <c r="L27" s="542">
        <f t="shared" si="1"/>
        <v>742</v>
      </c>
      <c r="M27" s="306"/>
      <c r="N27" s="160"/>
    </row>
    <row r="28" spans="1:14">
      <c r="A28" s="508" t="s">
        <v>491</v>
      </c>
      <c r="B28" s="509" t="s">
        <v>496</v>
      </c>
      <c r="C28" s="305"/>
      <c r="D28" s="305"/>
      <c r="E28" s="305">
        <v>891</v>
      </c>
      <c r="F28" s="305"/>
      <c r="G28" s="305"/>
      <c r="H28" s="305"/>
      <c r="I28" s="305"/>
      <c r="J28" s="305"/>
      <c r="K28" s="305"/>
      <c r="L28" s="542">
        <f t="shared" si="1"/>
        <v>891</v>
      </c>
      <c r="M28" s="306"/>
      <c r="N28" s="160"/>
    </row>
    <row r="29" spans="1:14">
      <c r="A29" s="508" t="s">
        <v>497</v>
      </c>
      <c r="B29" s="509" t="s">
        <v>498</v>
      </c>
      <c r="C29" s="305"/>
      <c r="D29" s="305"/>
      <c r="E29" s="305"/>
      <c r="F29" s="305"/>
      <c r="G29" s="305"/>
      <c r="H29" s="305"/>
      <c r="I29" s="305"/>
      <c r="J29" s="305"/>
      <c r="K29" s="305"/>
      <c r="L29" s="542">
        <f t="shared" si="1"/>
        <v>0</v>
      </c>
      <c r="M29" s="306"/>
      <c r="N29" s="160"/>
    </row>
    <row r="30" spans="1:14">
      <c r="A30" s="508" t="s">
        <v>499</v>
      </c>
      <c r="B30" s="509" t="s">
        <v>500</v>
      </c>
      <c r="C30" s="305">
        <v>-4079</v>
      </c>
      <c r="D30" s="305"/>
      <c r="E30" s="305">
        <v>157</v>
      </c>
      <c r="F30" s="305"/>
      <c r="G30" s="305"/>
      <c r="H30" s="305"/>
      <c r="I30" s="305">
        <v>1750</v>
      </c>
      <c r="J30" s="305"/>
      <c r="K30" s="305"/>
      <c r="L30" s="542">
        <f t="shared" si="1"/>
        <v>-2172</v>
      </c>
      <c r="M30" s="306">
        <v>-2378</v>
      </c>
      <c r="N30" s="160"/>
    </row>
    <row r="31" spans="1:14">
      <c r="A31" s="506" t="s">
        <v>501</v>
      </c>
      <c r="B31" s="507" t="s">
        <v>502</v>
      </c>
      <c r="C31" s="610">
        <f>C19+C22+C23+C26+C30+C29+C17+C18</f>
        <v>97063</v>
      </c>
      <c r="D31" s="610">
        <f t="shared" ref="D31:M31" si="6">D19+D22+D23+D26+D30+D29+D17+D18</f>
        <v>0</v>
      </c>
      <c r="E31" s="610">
        <f t="shared" si="6"/>
        <v>27978</v>
      </c>
      <c r="F31" s="610">
        <f t="shared" si="6"/>
        <v>66201</v>
      </c>
      <c r="G31" s="610">
        <f t="shared" si="6"/>
        <v>0</v>
      </c>
      <c r="H31" s="610">
        <f t="shared" si="6"/>
        <v>0</v>
      </c>
      <c r="I31" s="610">
        <f t="shared" si="6"/>
        <v>410182</v>
      </c>
      <c r="J31" s="610">
        <f t="shared" si="6"/>
        <v>0</v>
      </c>
      <c r="K31" s="610">
        <f t="shared" si="6"/>
        <v>0</v>
      </c>
      <c r="L31" s="542">
        <f t="shared" si="1"/>
        <v>601424</v>
      </c>
      <c r="M31" s="611">
        <f t="shared" si="6"/>
        <v>13901</v>
      </c>
      <c r="N31" s="157"/>
    </row>
    <row r="32" spans="1:14" ht="31.5">
      <c r="A32" s="508" t="s">
        <v>503</v>
      </c>
      <c r="B32" s="509" t="s">
        <v>504</v>
      </c>
      <c r="C32" s="305"/>
      <c r="D32" s="305"/>
      <c r="E32" s="305"/>
      <c r="F32" s="305"/>
      <c r="G32" s="305"/>
      <c r="H32" s="305"/>
      <c r="I32" s="305"/>
      <c r="J32" s="305"/>
      <c r="K32" s="305"/>
      <c r="L32" s="542">
        <f t="shared" si="1"/>
        <v>0</v>
      </c>
      <c r="M32" s="306"/>
      <c r="N32" s="160"/>
    </row>
    <row r="33" spans="1:14" ht="32.25" thickBot="1">
      <c r="A33" s="512" t="s">
        <v>505</v>
      </c>
      <c r="B33" s="513" t="s">
        <v>506</v>
      </c>
      <c r="C33" s="307"/>
      <c r="D33" s="307"/>
      <c r="E33" s="307"/>
      <c r="F33" s="307"/>
      <c r="G33" s="307"/>
      <c r="H33" s="307"/>
      <c r="I33" s="307"/>
      <c r="J33" s="307"/>
      <c r="K33" s="307"/>
      <c r="L33" s="609">
        <f t="shared" si="1"/>
        <v>0</v>
      </c>
      <c r="M33" s="308"/>
      <c r="N33" s="160"/>
    </row>
    <row r="34" spans="1:14" ht="32.25" thickBot="1">
      <c r="A34" s="514" t="s">
        <v>507</v>
      </c>
      <c r="B34" s="515" t="s">
        <v>508</v>
      </c>
      <c r="C34" s="545">
        <f t="shared" ref="C34:K34" si="7">C31+C32+C33</f>
        <v>97063</v>
      </c>
      <c r="D34" s="545">
        <f t="shared" si="7"/>
        <v>0</v>
      </c>
      <c r="E34" s="545">
        <f t="shared" si="7"/>
        <v>27978</v>
      </c>
      <c r="F34" s="545">
        <f t="shared" si="7"/>
        <v>66201</v>
      </c>
      <c r="G34" s="545">
        <f t="shared" si="7"/>
        <v>0</v>
      </c>
      <c r="H34" s="545">
        <f t="shared" si="7"/>
        <v>0</v>
      </c>
      <c r="I34" s="545">
        <f t="shared" si="7"/>
        <v>410182</v>
      </c>
      <c r="J34" s="545">
        <f t="shared" si="7"/>
        <v>0</v>
      </c>
      <c r="K34" s="545">
        <f t="shared" si="7"/>
        <v>0</v>
      </c>
      <c r="L34" s="608">
        <f t="shared" si="1"/>
        <v>601424</v>
      </c>
      <c r="M34" s="546">
        <f>M31+M32+M33</f>
        <v>13901</v>
      </c>
      <c r="N34" s="160"/>
    </row>
    <row r="35" spans="1:14">
      <c r="A35" s="516"/>
      <c r="B35" s="517"/>
      <c r="C35" s="518"/>
      <c r="D35" s="518"/>
      <c r="E35" s="518"/>
      <c r="F35" s="518"/>
      <c r="G35" s="518"/>
      <c r="H35" s="518"/>
      <c r="I35" s="518"/>
      <c r="J35" s="518"/>
      <c r="K35" s="518"/>
      <c r="L35" s="160"/>
      <c r="M35" s="160"/>
      <c r="N35" s="160"/>
    </row>
    <row r="36" spans="1:14">
      <c r="A36" s="519" t="s">
        <v>509</v>
      </c>
      <c r="B36" s="520"/>
      <c r="C36" s="520"/>
      <c r="D36" s="520"/>
      <c r="E36" s="520"/>
      <c r="F36" s="520"/>
      <c r="G36" s="520"/>
      <c r="H36" s="520"/>
      <c r="I36" s="520"/>
      <c r="J36" s="520"/>
      <c r="K36" s="518"/>
      <c r="L36" s="160"/>
      <c r="M36" s="160"/>
      <c r="N36" s="160"/>
    </row>
    <row r="37" spans="1:14">
      <c r="A37" s="516"/>
      <c r="B37" s="517"/>
      <c r="C37" s="518"/>
      <c r="D37" s="518"/>
      <c r="E37" s="518"/>
      <c r="F37" s="518"/>
      <c r="G37" s="518"/>
      <c r="H37" s="518"/>
      <c r="I37" s="518"/>
      <c r="J37" s="518"/>
      <c r="K37" s="518"/>
      <c r="L37" s="160"/>
      <c r="M37" s="160"/>
      <c r="N37" s="160"/>
    </row>
    <row r="38" spans="1:14">
      <c r="A38" s="649" t="s">
        <v>950</v>
      </c>
      <c r="B38" s="705">
        <f>pdeReportingDate</f>
        <v>44529</v>
      </c>
      <c r="C38" s="705"/>
      <c r="D38" s="705"/>
      <c r="E38" s="705"/>
      <c r="F38" s="705"/>
      <c r="G38" s="705"/>
      <c r="H38" s="705"/>
      <c r="M38" s="160"/>
    </row>
    <row r="39" spans="1:14">
      <c r="A39" s="649"/>
      <c r="B39" s="671"/>
      <c r="C39" s="671"/>
      <c r="D39" s="671"/>
      <c r="E39" s="671"/>
      <c r="F39" s="671"/>
      <c r="G39" s="671"/>
      <c r="H39" s="671"/>
      <c r="M39" s="160"/>
    </row>
    <row r="40" spans="1:14">
      <c r="A40" s="649"/>
      <c r="B40" s="51"/>
      <c r="C40" s="51"/>
      <c r="D40" s="51"/>
      <c r="E40" s="51"/>
      <c r="F40" s="51"/>
      <c r="G40" s="51"/>
      <c r="H40" s="51"/>
      <c r="M40" s="160"/>
    </row>
    <row r="41" spans="1:14">
      <c r="A41" s="650" t="s">
        <v>8</v>
      </c>
      <c r="B41" s="706" t="str">
        <f>authorName</f>
        <v>Людмила Бонджова</v>
      </c>
      <c r="C41" s="706"/>
      <c r="D41" s="706"/>
      <c r="E41" s="706"/>
      <c r="F41" s="706"/>
      <c r="G41" s="706"/>
      <c r="H41" s="706"/>
      <c r="M41" s="160"/>
    </row>
    <row r="42" spans="1:14">
      <c r="A42" s="650"/>
      <c r="B42" s="672"/>
      <c r="C42" s="672"/>
      <c r="D42" s="672"/>
      <c r="E42" s="672"/>
      <c r="F42" s="672"/>
      <c r="G42" s="672"/>
      <c r="H42" s="672"/>
      <c r="M42" s="160"/>
    </row>
    <row r="43" spans="1:14">
      <c r="A43" s="650"/>
      <c r="B43" s="75"/>
      <c r="C43" s="75"/>
      <c r="D43" s="75"/>
      <c r="E43" s="75"/>
      <c r="F43" s="75"/>
      <c r="G43" s="75"/>
      <c r="H43" s="75"/>
      <c r="M43" s="160"/>
    </row>
    <row r="44" spans="1:14">
      <c r="A44" s="650" t="s">
        <v>894</v>
      </c>
      <c r="B44" s="707"/>
      <c r="C44" s="707"/>
      <c r="D44" s="707"/>
      <c r="E44" s="707"/>
      <c r="F44" s="707"/>
      <c r="G44" s="707"/>
      <c r="H44" s="707"/>
      <c r="M44" s="160"/>
    </row>
    <row r="45" spans="1:14">
      <c r="A45" s="651"/>
      <c r="B45" s="708" t="str">
        <f>+Начална!B17</f>
        <v>Огнян Донев</v>
      </c>
      <c r="C45" s="704"/>
      <c r="D45" s="704"/>
      <c r="E45" s="704"/>
      <c r="F45" s="533"/>
      <c r="G45" s="44"/>
      <c r="H45" s="41"/>
      <c r="M45" s="160"/>
    </row>
    <row r="46" spans="1:14">
      <c r="A46" s="651"/>
      <c r="B46" s="704"/>
      <c r="C46" s="704"/>
      <c r="D46" s="704"/>
      <c r="E46" s="704"/>
      <c r="F46" s="533"/>
      <c r="G46" s="44"/>
      <c r="H46" s="41"/>
      <c r="M46" s="160"/>
    </row>
    <row r="47" spans="1:14">
      <c r="A47" s="651"/>
      <c r="B47" s="704"/>
      <c r="C47" s="704"/>
      <c r="D47" s="704"/>
      <c r="E47" s="704"/>
      <c r="F47" s="533"/>
      <c r="G47" s="44"/>
      <c r="H47" s="41"/>
      <c r="M47" s="160"/>
    </row>
    <row r="48" spans="1:14">
      <c r="A48" s="651"/>
      <c r="B48" s="704"/>
      <c r="C48" s="704"/>
      <c r="D48" s="704"/>
      <c r="E48" s="704"/>
      <c r="F48" s="533"/>
      <c r="G48" s="44"/>
      <c r="H48" s="41"/>
      <c r="M48" s="160"/>
    </row>
    <row r="49" spans="1:13">
      <c r="A49" s="651"/>
      <c r="B49" s="704"/>
      <c r="C49" s="704"/>
      <c r="D49" s="704"/>
      <c r="E49" s="704"/>
      <c r="F49" s="533"/>
      <c r="G49" s="44"/>
      <c r="H49" s="41"/>
      <c r="M49" s="160"/>
    </row>
    <row r="50" spans="1:13">
      <c r="A50" s="651"/>
      <c r="B50" s="704"/>
      <c r="C50" s="704"/>
      <c r="D50" s="704"/>
      <c r="E50" s="704"/>
      <c r="F50" s="533"/>
      <c r="G50" s="44"/>
      <c r="H50" s="41"/>
      <c r="M50" s="160"/>
    </row>
    <row r="51" spans="1:13">
      <c r="A51" s="651"/>
      <c r="B51" s="704"/>
      <c r="C51" s="704"/>
      <c r="D51" s="704"/>
      <c r="E51" s="704"/>
      <c r="F51" s="533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DE3D9EAF-1767-451E-80FE-3028500A9C7F}" scale="90"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17A0B690-90B4-478F-B629-540D801E18FD}" scale="80" topLeftCell="G10">
      <selection activeCell="L38" sqref="L38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07871067-5294-4FEE-88CE-4A4A5BC97EF0}" scale="80" topLeftCell="G10">
      <selection activeCell="L38" sqref="L38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  <customSheetView guid="{F2D4D9F9-DE61-45A3-92A2-4E78F2B34B7F}" scale="80" showPageBreaks="1" printArea="1" topLeftCell="A10">
      <selection activeCell="E30" sqref="E30"/>
      <pageMargins left="0.35433070866141736" right="0.31496062992125984" top="0.3" bottom="0.38" header="0.22" footer="0.23622047244094491"/>
      <printOptions horizontalCentered="1"/>
      <pageSetup paperSize="9" scale="65" orientation="landscape" r:id="rId4"/>
      <headerFooter alignWithMargins="0"/>
    </customSheetView>
  </customSheetViews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X235"/>
  <sheetViews>
    <sheetView zoomScale="90" zoomScaleNormal="9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1" sqref="B1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9" width="10.7109375" style="38"/>
    <col min="20" max="20" width="11.42578125" style="38" bestFit="1" customWidth="1"/>
    <col min="21" max="16384" width="10.7109375" style="38"/>
  </cols>
  <sheetData>
    <row r="1" spans="1:21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21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21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21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21">
      <c r="A5" s="70" t="str">
        <f>CONCATENATE("към ",TEXT(endDate,"dd.mm.yyyy")," г.")</f>
        <v>към 30.09.2021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21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21" s="119" customFormat="1" ht="31.5">
      <c r="A7" s="726" t="s">
        <v>453</v>
      </c>
      <c r="B7" s="727"/>
      <c r="C7" s="730" t="s">
        <v>11</v>
      </c>
      <c r="D7" s="323" t="s">
        <v>510</v>
      </c>
      <c r="E7" s="323"/>
      <c r="F7" s="323"/>
      <c r="G7" s="323"/>
      <c r="H7" s="323" t="s">
        <v>511</v>
      </c>
      <c r="I7" s="323"/>
      <c r="J7" s="722" t="s">
        <v>815</v>
      </c>
      <c r="K7" s="323" t="s">
        <v>512</v>
      </c>
      <c r="L7" s="323"/>
      <c r="M7" s="323"/>
      <c r="N7" s="323"/>
      <c r="O7" s="323" t="s">
        <v>511</v>
      </c>
      <c r="P7" s="323"/>
      <c r="Q7" s="722" t="s">
        <v>513</v>
      </c>
      <c r="R7" s="724" t="s">
        <v>514</v>
      </c>
    </row>
    <row r="8" spans="1:21" s="119" customFormat="1" ht="66.75" customHeight="1">
      <c r="A8" s="728"/>
      <c r="B8" s="729"/>
      <c r="C8" s="731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23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23"/>
      <c r="R8" s="725"/>
    </row>
    <row r="9" spans="1:21" s="119" customFormat="1" ht="16.5" thickBot="1">
      <c r="A9" s="340" t="s">
        <v>520</v>
      </c>
      <c r="B9" s="332"/>
      <c r="C9" s="333" t="s">
        <v>18</v>
      </c>
      <c r="D9" s="334">
        <v>1</v>
      </c>
      <c r="E9" s="334">
        <v>2</v>
      </c>
      <c r="F9" s="334">
        <v>3</v>
      </c>
      <c r="G9" s="334">
        <v>4</v>
      </c>
      <c r="H9" s="334">
        <v>5</v>
      </c>
      <c r="I9" s="334">
        <v>6</v>
      </c>
      <c r="J9" s="334">
        <v>7</v>
      </c>
      <c r="K9" s="334">
        <v>8</v>
      </c>
      <c r="L9" s="334">
        <v>9</v>
      </c>
      <c r="M9" s="334">
        <v>10</v>
      </c>
      <c r="N9" s="334">
        <v>11</v>
      </c>
      <c r="O9" s="334">
        <v>12</v>
      </c>
      <c r="P9" s="334">
        <v>13</v>
      </c>
      <c r="Q9" s="334">
        <v>14</v>
      </c>
      <c r="R9" s="335">
        <v>15</v>
      </c>
    </row>
    <row r="10" spans="1:21">
      <c r="A10" s="341" t="s">
        <v>806</v>
      </c>
      <c r="B10" s="336" t="s">
        <v>804</v>
      </c>
      <c r="C10" s="337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9"/>
    </row>
    <row r="11" spans="1:21">
      <c r="A11" s="325" t="s">
        <v>521</v>
      </c>
      <c r="B11" s="310" t="s">
        <v>522</v>
      </c>
      <c r="C11" s="143" t="s">
        <v>523</v>
      </c>
      <c r="D11" s="317">
        <v>60104</v>
      </c>
      <c r="E11" s="317">
        <v>1322</v>
      </c>
      <c r="F11" s="317">
        <v>2357</v>
      </c>
      <c r="G11" s="657">
        <f>D11+E11-F11</f>
        <v>59069</v>
      </c>
      <c r="H11" s="317"/>
      <c r="I11" s="317">
        <v>24</v>
      </c>
      <c r="J11" s="657">
        <f>G11+H11-I11</f>
        <v>59045</v>
      </c>
      <c r="K11" s="317">
        <v>8</v>
      </c>
      <c r="L11" s="317">
        <v>5</v>
      </c>
      <c r="M11" s="317">
        <v>10</v>
      </c>
      <c r="N11" s="657">
        <f>K11+L11-M11</f>
        <v>3</v>
      </c>
      <c r="O11" s="317"/>
      <c r="P11" s="317"/>
      <c r="Q11" s="657">
        <f t="shared" ref="Q11:Q27" si="0">N11+O11-P11</f>
        <v>3</v>
      </c>
      <c r="R11" s="683">
        <f t="shared" ref="R11:R27" si="1">J11-Q11</f>
        <v>59042</v>
      </c>
      <c r="U11" s="673"/>
    </row>
    <row r="12" spans="1:21">
      <c r="A12" s="325" t="s">
        <v>524</v>
      </c>
      <c r="B12" s="310" t="s">
        <v>525</v>
      </c>
      <c r="C12" s="143" t="s">
        <v>526</v>
      </c>
      <c r="D12" s="317">
        <v>274568</v>
      </c>
      <c r="E12" s="317">
        <v>11129</v>
      </c>
      <c r="F12" s="317">
        <v>9243</v>
      </c>
      <c r="G12" s="657">
        <f t="shared" ref="G12:G41" si="2">D12+E12-F12</f>
        <v>276454</v>
      </c>
      <c r="H12" s="317"/>
      <c r="I12" s="317">
        <v>2103</v>
      </c>
      <c r="J12" s="657">
        <f t="shared" ref="J12:J41" si="3">G12+H12-I12</f>
        <v>274351</v>
      </c>
      <c r="K12" s="317">
        <v>83141</v>
      </c>
      <c r="L12" s="317">
        <v>18110</v>
      </c>
      <c r="M12" s="317">
        <v>6040</v>
      </c>
      <c r="N12" s="657">
        <f t="shared" ref="N12:N41" si="4">K12+L12-M12</f>
        <v>95211</v>
      </c>
      <c r="O12" s="317"/>
      <c r="P12" s="317">
        <v>9</v>
      </c>
      <c r="Q12" s="657">
        <f t="shared" si="0"/>
        <v>95202</v>
      </c>
      <c r="R12" s="683">
        <f t="shared" si="1"/>
        <v>179149</v>
      </c>
      <c r="U12" s="673"/>
    </row>
    <row r="13" spans="1:21">
      <c r="A13" s="325" t="s">
        <v>527</v>
      </c>
      <c r="B13" s="310" t="s">
        <v>528</v>
      </c>
      <c r="C13" s="143" t="s">
        <v>529</v>
      </c>
      <c r="D13" s="317">
        <v>243090</v>
      </c>
      <c r="E13" s="317">
        <v>14450</v>
      </c>
      <c r="F13" s="317">
        <v>14186</v>
      </c>
      <c r="G13" s="657">
        <f t="shared" si="2"/>
        <v>243354</v>
      </c>
      <c r="H13" s="317"/>
      <c r="I13" s="317"/>
      <c r="J13" s="657">
        <f t="shared" si="3"/>
        <v>243354</v>
      </c>
      <c r="K13" s="317">
        <v>144208</v>
      </c>
      <c r="L13" s="317">
        <v>10072</v>
      </c>
      <c r="M13" s="317">
        <v>8627</v>
      </c>
      <c r="N13" s="657">
        <f t="shared" si="4"/>
        <v>145653</v>
      </c>
      <c r="O13" s="317"/>
      <c r="P13" s="317"/>
      <c r="Q13" s="657">
        <f t="shared" si="0"/>
        <v>145653</v>
      </c>
      <c r="R13" s="683">
        <f t="shared" si="1"/>
        <v>97701</v>
      </c>
      <c r="U13" s="673"/>
    </row>
    <row r="14" spans="1:21">
      <c r="A14" s="325" t="s">
        <v>530</v>
      </c>
      <c r="B14" s="310" t="s">
        <v>531</v>
      </c>
      <c r="C14" s="143" t="s">
        <v>532</v>
      </c>
      <c r="D14" s="317">
        <v>22792</v>
      </c>
      <c r="E14" s="317">
        <v>419</v>
      </c>
      <c r="F14" s="317">
        <v>20</v>
      </c>
      <c r="G14" s="657">
        <f t="shared" si="2"/>
        <v>23191</v>
      </c>
      <c r="H14" s="317"/>
      <c r="I14" s="317"/>
      <c r="J14" s="657">
        <f t="shared" si="3"/>
        <v>23191</v>
      </c>
      <c r="K14" s="317">
        <v>9075</v>
      </c>
      <c r="L14" s="317">
        <v>1290</v>
      </c>
      <c r="M14" s="317">
        <v>19</v>
      </c>
      <c r="N14" s="657">
        <f t="shared" si="4"/>
        <v>10346</v>
      </c>
      <c r="O14" s="317"/>
      <c r="P14" s="317"/>
      <c r="Q14" s="657">
        <f>N14+O14-P14</f>
        <v>10346</v>
      </c>
      <c r="R14" s="683">
        <f t="shared" si="1"/>
        <v>12845</v>
      </c>
      <c r="U14" s="673"/>
    </row>
    <row r="15" spans="1:21">
      <c r="A15" s="325" t="s">
        <v>533</v>
      </c>
      <c r="B15" s="310" t="s">
        <v>534</v>
      </c>
      <c r="C15" s="143" t="s">
        <v>535</v>
      </c>
      <c r="D15" s="317">
        <v>26280</v>
      </c>
      <c r="E15" s="317">
        <v>3067</v>
      </c>
      <c r="F15" s="317">
        <v>5255</v>
      </c>
      <c r="G15" s="657">
        <f t="shared" si="2"/>
        <v>24092</v>
      </c>
      <c r="H15" s="317"/>
      <c r="I15" s="317"/>
      <c r="J15" s="657">
        <f t="shared" si="3"/>
        <v>24092</v>
      </c>
      <c r="K15" s="317">
        <v>15124</v>
      </c>
      <c r="L15" s="317">
        <v>3029</v>
      </c>
      <c r="M15" s="317">
        <v>4723</v>
      </c>
      <c r="N15" s="657">
        <f t="shared" si="4"/>
        <v>13430</v>
      </c>
      <c r="O15" s="317"/>
      <c r="P15" s="317"/>
      <c r="Q15" s="657">
        <f t="shared" si="0"/>
        <v>13430</v>
      </c>
      <c r="R15" s="683">
        <f t="shared" si="1"/>
        <v>10662</v>
      </c>
      <c r="U15" s="673"/>
    </row>
    <row r="16" spans="1:21">
      <c r="A16" s="342" t="s">
        <v>814</v>
      </c>
      <c r="B16" s="310" t="s">
        <v>536</v>
      </c>
      <c r="C16" s="143" t="s">
        <v>537</v>
      </c>
      <c r="D16" s="317">
        <v>27472</v>
      </c>
      <c r="E16" s="317">
        <v>2951</v>
      </c>
      <c r="F16" s="317">
        <v>1138</v>
      </c>
      <c r="G16" s="657">
        <f t="shared" si="2"/>
        <v>29285</v>
      </c>
      <c r="H16" s="317"/>
      <c r="I16" s="317"/>
      <c r="J16" s="657">
        <f>G16+H16-I16</f>
        <v>29285</v>
      </c>
      <c r="K16" s="317">
        <v>17693</v>
      </c>
      <c r="L16" s="317">
        <v>2111</v>
      </c>
      <c r="M16" s="317">
        <v>1065</v>
      </c>
      <c r="N16" s="657">
        <f t="shared" si="4"/>
        <v>18739</v>
      </c>
      <c r="O16" s="317"/>
      <c r="P16" s="317"/>
      <c r="Q16" s="657">
        <f t="shared" si="0"/>
        <v>18739</v>
      </c>
      <c r="R16" s="683">
        <f t="shared" si="1"/>
        <v>10546</v>
      </c>
      <c r="U16" s="673"/>
    </row>
    <row r="17" spans="1:24" s="145" customFormat="1" ht="33.6" customHeight="1">
      <c r="A17" s="325" t="s">
        <v>538</v>
      </c>
      <c r="B17" s="146" t="s">
        <v>539</v>
      </c>
      <c r="C17" s="144" t="s">
        <v>540</v>
      </c>
      <c r="D17" s="317">
        <v>10209</v>
      </c>
      <c r="E17" s="317">
        <v>13322</v>
      </c>
      <c r="F17" s="317">
        <v>16470</v>
      </c>
      <c r="G17" s="657">
        <f t="shared" si="2"/>
        <v>7061</v>
      </c>
      <c r="H17" s="317"/>
      <c r="I17" s="317"/>
      <c r="J17" s="657">
        <f t="shared" si="3"/>
        <v>7061</v>
      </c>
      <c r="K17" s="317">
        <v>0</v>
      </c>
      <c r="L17" s="317"/>
      <c r="M17" s="317"/>
      <c r="N17" s="657">
        <f t="shared" si="4"/>
        <v>0</v>
      </c>
      <c r="O17" s="317"/>
      <c r="P17" s="317"/>
      <c r="Q17" s="657">
        <f t="shared" si="0"/>
        <v>0</v>
      </c>
      <c r="R17" s="683">
        <f t="shared" si="1"/>
        <v>7061</v>
      </c>
      <c r="S17" s="38"/>
      <c r="U17" s="695"/>
    </row>
    <row r="18" spans="1:24">
      <c r="A18" s="325" t="s">
        <v>541</v>
      </c>
      <c r="B18" s="146" t="s">
        <v>542</v>
      </c>
      <c r="C18" s="143" t="s">
        <v>543</v>
      </c>
      <c r="D18" s="317">
        <v>445</v>
      </c>
      <c r="E18" s="317"/>
      <c r="F18" s="317"/>
      <c r="G18" s="657">
        <f t="shared" si="2"/>
        <v>445</v>
      </c>
      <c r="H18" s="317"/>
      <c r="I18" s="317"/>
      <c r="J18" s="657">
        <f t="shared" si="3"/>
        <v>445</v>
      </c>
      <c r="K18" s="317">
        <v>154</v>
      </c>
      <c r="L18" s="317">
        <v>48</v>
      </c>
      <c r="M18" s="317"/>
      <c r="N18" s="657">
        <f t="shared" si="4"/>
        <v>202</v>
      </c>
      <c r="O18" s="317"/>
      <c r="P18" s="317"/>
      <c r="Q18" s="657">
        <f t="shared" si="0"/>
        <v>202</v>
      </c>
      <c r="R18" s="683">
        <f t="shared" si="1"/>
        <v>243</v>
      </c>
      <c r="U18" s="673"/>
    </row>
    <row r="19" spans="1:24">
      <c r="A19" s="325"/>
      <c r="B19" s="311" t="s">
        <v>544</v>
      </c>
      <c r="C19" s="147" t="s">
        <v>545</v>
      </c>
      <c r="D19" s="689">
        <f>SUM(D11:D18)</f>
        <v>664960</v>
      </c>
      <c r="E19" s="689">
        <f>SUM(E11:E18)</f>
        <v>46660</v>
      </c>
      <c r="F19" s="689">
        <f>SUM(F11:F18)</f>
        <v>48669</v>
      </c>
      <c r="G19" s="674">
        <f t="shared" si="2"/>
        <v>662951</v>
      </c>
      <c r="H19" s="675">
        <f>SUM(H11:H18)</f>
        <v>0</v>
      </c>
      <c r="I19" s="681">
        <f>SUM(I11:I18)</f>
        <v>2127</v>
      </c>
      <c r="J19" s="681">
        <f t="shared" si="3"/>
        <v>660824</v>
      </c>
      <c r="K19" s="675">
        <f>SUM(K11:K18)</f>
        <v>269403</v>
      </c>
      <c r="L19" s="675">
        <f>SUM(L11:L18)</f>
        <v>34665</v>
      </c>
      <c r="M19" s="675">
        <f>SUM(M11:M18)</f>
        <v>20484</v>
      </c>
      <c r="N19" s="681">
        <f t="shared" si="4"/>
        <v>283584</v>
      </c>
      <c r="O19" s="681">
        <f>SUM(O11:O18)</f>
        <v>0</v>
      </c>
      <c r="P19" s="675">
        <f>SUM(P11:P18)</f>
        <v>9</v>
      </c>
      <c r="Q19" s="681">
        <f t="shared" si="0"/>
        <v>283575</v>
      </c>
      <c r="R19" s="684">
        <f t="shared" si="1"/>
        <v>377249</v>
      </c>
    </row>
    <row r="20" spans="1:24">
      <c r="A20" s="326" t="s">
        <v>816</v>
      </c>
      <c r="B20" s="701" t="s">
        <v>546</v>
      </c>
      <c r="C20" s="147" t="s">
        <v>547</v>
      </c>
      <c r="D20" s="317">
        <v>11691</v>
      </c>
      <c r="E20" s="317"/>
      <c r="F20" s="317">
        <v>1559</v>
      </c>
      <c r="G20" s="657">
        <f t="shared" si="2"/>
        <v>10132</v>
      </c>
      <c r="H20" s="317"/>
      <c r="I20" s="317"/>
      <c r="J20" s="657">
        <f t="shared" si="3"/>
        <v>10132</v>
      </c>
      <c r="K20" s="317"/>
      <c r="L20" s="317"/>
      <c r="M20" s="317"/>
      <c r="N20" s="657">
        <f t="shared" si="4"/>
        <v>0</v>
      </c>
      <c r="O20" s="317"/>
      <c r="P20" s="317"/>
      <c r="Q20" s="657">
        <f t="shared" si="0"/>
        <v>0</v>
      </c>
      <c r="R20" s="683">
        <f t="shared" si="1"/>
        <v>10132</v>
      </c>
    </row>
    <row r="21" spans="1:24">
      <c r="A21" s="324" t="s">
        <v>805</v>
      </c>
      <c r="B21" s="312" t="s">
        <v>548</v>
      </c>
      <c r="C21" s="147" t="s">
        <v>549</v>
      </c>
      <c r="D21" s="317">
        <v>344</v>
      </c>
      <c r="E21" s="317"/>
      <c r="F21" s="317"/>
      <c r="G21" s="657">
        <f t="shared" si="2"/>
        <v>344</v>
      </c>
      <c r="H21" s="317"/>
      <c r="I21" s="317"/>
      <c r="J21" s="657">
        <f t="shared" si="3"/>
        <v>344</v>
      </c>
      <c r="K21" s="317">
        <v>29</v>
      </c>
      <c r="L21" s="317">
        <v>21</v>
      </c>
      <c r="M21" s="317"/>
      <c r="N21" s="657">
        <f t="shared" si="4"/>
        <v>50</v>
      </c>
      <c r="O21" s="317"/>
      <c r="P21" s="317"/>
      <c r="Q21" s="657">
        <f t="shared" si="0"/>
        <v>50</v>
      </c>
      <c r="R21" s="683">
        <f t="shared" si="1"/>
        <v>294</v>
      </c>
    </row>
    <row r="22" spans="1:24">
      <c r="A22" s="324" t="s">
        <v>550</v>
      </c>
      <c r="B22" s="309" t="s">
        <v>551</v>
      </c>
      <c r="C22" s="143"/>
      <c r="D22" s="320"/>
      <c r="E22" s="320"/>
      <c r="F22" s="320"/>
      <c r="G22" s="657">
        <f t="shared" si="2"/>
        <v>0</v>
      </c>
      <c r="H22" s="676"/>
      <c r="I22" s="676"/>
      <c r="J22" s="657">
        <f t="shared" si="3"/>
        <v>0</v>
      </c>
      <c r="K22" s="676"/>
      <c r="L22" s="676"/>
      <c r="M22" s="676"/>
      <c r="N22" s="657">
        <f t="shared" si="4"/>
        <v>0</v>
      </c>
      <c r="O22" s="676"/>
      <c r="P22" s="676"/>
      <c r="Q22" s="657">
        <f t="shared" si="0"/>
        <v>0</v>
      </c>
      <c r="R22" s="683">
        <f t="shared" si="1"/>
        <v>0</v>
      </c>
    </row>
    <row r="23" spans="1:24">
      <c r="A23" s="325" t="s">
        <v>521</v>
      </c>
      <c r="B23" s="310" t="s">
        <v>552</v>
      </c>
      <c r="C23" s="143" t="s">
        <v>553</v>
      </c>
      <c r="D23" s="317">
        <v>83084</v>
      </c>
      <c r="E23" s="317">
        <v>487</v>
      </c>
      <c r="F23" s="317">
        <v>3820</v>
      </c>
      <c r="G23" s="657">
        <f t="shared" si="2"/>
        <v>79751</v>
      </c>
      <c r="H23" s="317"/>
      <c r="I23" s="317"/>
      <c r="J23" s="657">
        <f t="shared" si="3"/>
        <v>79751</v>
      </c>
      <c r="K23" s="317">
        <v>44478</v>
      </c>
      <c r="L23" s="317">
        <v>5127</v>
      </c>
      <c r="M23" s="317">
        <v>2892</v>
      </c>
      <c r="N23" s="657">
        <f t="shared" si="4"/>
        <v>46713</v>
      </c>
      <c r="O23" s="317"/>
      <c r="P23" s="317"/>
      <c r="Q23" s="657">
        <f t="shared" si="0"/>
        <v>46713</v>
      </c>
      <c r="R23" s="683">
        <f t="shared" si="1"/>
        <v>33038</v>
      </c>
      <c r="T23" s="673"/>
    </row>
    <row r="24" spans="1:24">
      <c r="A24" s="325" t="s">
        <v>524</v>
      </c>
      <c r="B24" s="310" t="s">
        <v>554</v>
      </c>
      <c r="C24" s="143" t="s">
        <v>555</v>
      </c>
      <c r="D24" s="317">
        <v>27696</v>
      </c>
      <c r="E24" s="317">
        <v>854</v>
      </c>
      <c r="F24" s="317">
        <v>95</v>
      </c>
      <c r="G24" s="657">
        <f t="shared" si="2"/>
        <v>28455</v>
      </c>
      <c r="H24" s="317"/>
      <c r="I24" s="317"/>
      <c r="J24" s="657">
        <f t="shared" si="3"/>
        <v>28455</v>
      </c>
      <c r="K24" s="317">
        <v>13225</v>
      </c>
      <c r="L24" s="317">
        <v>2035</v>
      </c>
      <c r="M24" s="317">
        <v>85</v>
      </c>
      <c r="N24" s="657">
        <f t="shared" si="4"/>
        <v>15175</v>
      </c>
      <c r="O24" s="317"/>
      <c r="P24" s="317"/>
      <c r="Q24" s="657">
        <f t="shared" si="0"/>
        <v>15175</v>
      </c>
      <c r="R24" s="683">
        <f t="shared" si="1"/>
        <v>13280</v>
      </c>
      <c r="T24" s="673"/>
    </row>
    <row r="25" spans="1:24">
      <c r="A25" s="327" t="s">
        <v>527</v>
      </c>
      <c r="B25" s="146" t="s">
        <v>556</v>
      </c>
      <c r="C25" s="143" t="s">
        <v>557</v>
      </c>
      <c r="D25" s="317">
        <v>0</v>
      </c>
      <c r="E25" s="317"/>
      <c r="F25" s="317"/>
      <c r="G25" s="657">
        <f t="shared" si="2"/>
        <v>0</v>
      </c>
      <c r="H25" s="317"/>
      <c r="I25" s="317"/>
      <c r="J25" s="657">
        <f t="shared" si="3"/>
        <v>0</v>
      </c>
      <c r="K25" s="317">
        <v>0</v>
      </c>
      <c r="L25" s="317"/>
      <c r="M25" s="317"/>
      <c r="N25" s="657">
        <f t="shared" si="4"/>
        <v>0</v>
      </c>
      <c r="O25" s="317"/>
      <c r="P25" s="317"/>
      <c r="Q25" s="657">
        <f t="shared" si="0"/>
        <v>0</v>
      </c>
      <c r="R25" s="683">
        <f t="shared" si="1"/>
        <v>0</v>
      </c>
      <c r="T25" s="673"/>
    </row>
    <row r="26" spans="1:24">
      <c r="A26" s="325" t="s">
        <v>530</v>
      </c>
      <c r="B26" s="148" t="s">
        <v>542</v>
      </c>
      <c r="C26" s="143" t="s">
        <v>558</v>
      </c>
      <c r="D26" s="317">
        <v>7557</v>
      </c>
      <c r="E26" s="317">
        <v>4008</v>
      </c>
      <c r="F26" s="317">
        <v>698</v>
      </c>
      <c r="G26" s="657">
        <f t="shared" si="2"/>
        <v>10867</v>
      </c>
      <c r="H26" s="317"/>
      <c r="I26" s="317"/>
      <c r="J26" s="657">
        <f t="shared" si="3"/>
        <v>10867</v>
      </c>
      <c r="K26" s="317">
        <v>2362</v>
      </c>
      <c r="L26" s="317"/>
      <c r="M26" s="317"/>
      <c r="N26" s="657">
        <f t="shared" si="4"/>
        <v>2362</v>
      </c>
      <c r="O26" s="317"/>
      <c r="P26" s="317"/>
      <c r="Q26" s="657">
        <f t="shared" si="0"/>
        <v>2362</v>
      </c>
      <c r="R26" s="683">
        <f t="shared" si="1"/>
        <v>8505</v>
      </c>
      <c r="T26" s="673"/>
      <c r="U26" s="673"/>
      <c r="X26" s="673"/>
    </row>
    <row r="27" spans="1:24">
      <c r="A27" s="325"/>
      <c r="B27" s="311" t="s">
        <v>559</v>
      </c>
      <c r="C27" s="149" t="s">
        <v>560</v>
      </c>
      <c r="D27" s="677">
        <f>SUM(D23:D26)</f>
        <v>118337</v>
      </c>
      <c r="E27" s="677">
        <f t="shared" ref="E27:P27" si="5">SUM(E23:E26)</f>
        <v>5349</v>
      </c>
      <c r="F27" s="677">
        <f t="shared" si="5"/>
        <v>4613</v>
      </c>
      <c r="G27" s="682">
        <f t="shared" si="2"/>
        <v>119073</v>
      </c>
      <c r="H27" s="677">
        <f t="shared" si="5"/>
        <v>0</v>
      </c>
      <c r="I27" s="677">
        <f t="shared" si="5"/>
        <v>0</v>
      </c>
      <c r="J27" s="682">
        <f t="shared" si="3"/>
        <v>119073</v>
      </c>
      <c r="K27" s="677">
        <f t="shared" si="5"/>
        <v>60065</v>
      </c>
      <c r="L27" s="677">
        <f t="shared" si="5"/>
        <v>7162</v>
      </c>
      <c r="M27" s="677">
        <f t="shared" si="5"/>
        <v>2977</v>
      </c>
      <c r="N27" s="682">
        <f t="shared" si="4"/>
        <v>64250</v>
      </c>
      <c r="O27" s="677">
        <f t="shared" si="5"/>
        <v>0</v>
      </c>
      <c r="P27" s="677">
        <f t="shared" si="5"/>
        <v>0</v>
      </c>
      <c r="Q27" s="682">
        <f t="shared" si="0"/>
        <v>64250</v>
      </c>
      <c r="R27" s="685">
        <f t="shared" si="1"/>
        <v>54823</v>
      </c>
    </row>
    <row r="28" spans="1:24">
      <c r="A28" s="324" t="s">
        <v>807</v>
      </c>
      <c r="B28" s="314" t="s">
        <v>803</v>
      </c>
      <c r="C28" s="150"/>
      <c r="D28" s="321"/>
      <c r="E28" s="321"/>
      <c r="F28" s="321"/>
      <c r="G28" s="678"/>
      <c r="H28" s="678"/>
      <c r="I28" s="678"/>
      <c r="J28" s="702"/>
      <c r="K28" s="678"/>
      <c r="L28" s="678"/>
      <c r="M28" s="678"/>
      <c r="N28" s="678"/>
      <c r="O28" s="678"/>
      <c r="P28" s="678"/>
      <c r="Q28" s="702"/>
      <c r="R28" s="703"/>
    </row>
    <row r="29" spans="1:24">
      <c r="A29" s="325" t="s">
        <v>521</v>
      </c>
      <c r="B29" s="315" t="s">
        <v>561</v>
      </c>
      <c r="C29" s="151" t="s">
        <v>562</v>
      </c>
      <c r="D29" s="322">
        <f>SUM(D30:D33)</f>
        <v>77105</v>
      </c>
      <c r="E29" s="322">
        <f t="shared" ref="E29:P29" si="6">SUM(E30:E33)</f>
        <v>17190</v>
      </c>
      <c r="F29" s="322">
        <f t="shared" si="6"/>
        <v>2066</v>
      </c>
      <c r="G29" s="679">
        <f t="shared" si="2"/>
        <v>92229</v>
      </c>
      <c r="H29" s="680">
        <f t="shared" si="6"/>
        <v>742</v>
      </c>
      <c r="I29" s="680">
        <f t="shared" si="6"/>
        <v>841</v>
      </c>
      <c r="J29" s="679">
        <f t="shared" si="3"/>
        <v>92130</v>
      </c>
      <c r="K29" s="680">
        <f t="shared" si="6"/>
        <v>0</v>
      </c>
      <c r="L29" s="680">
        <f t="shared" si="6"/>
        <v>0</v>
      </c>
      <c r="M29" s="680">
        <f t="shared" si="6"/>
        <v>0</v>
      </c>
      <c r="N29" s="679">
        <f t="shared" si="4"/>
        <v>0</v>
      </c>
      <c r="O29" s="680">
        <f t="shared" si="6"/>
        <v>0</v>
      </c>
      <c r="P29" s="680">
        <f t="shared" si="6"/>
        <v>0</v>
      </c>
      <c r="Q29" s="679">
        <f>N29+O29-P29</f>
        <v>0</v>
      </c>
      <c r="R29" s="686">
        <f>J29-Q29</f>
        <v>92130</v>
      </c>
    </row>
    <row r="30" spans="1:24">
      <c r="A30" s="325"/>
      <c r="B30" s="310" t="s">
        <v>108</v>
      </c>
      <c r="C30" s="143" t="s">
        <v>563</v>
      </c>
      <c r="D30" s="317"/>
      <c r="E30" s="317"/>
      <c r="F30" s="317"/>
      <c r="G30" s="657">
        <f t="shared" si="2"/>
        <v>0</v>
      </c>
      <c r="H30" s="317"/>
      <c r="I30" s="317"/>
      <c r="J30" s="657">
        <f t="shared" si="3"/>
        <v>0</v>
      </c>
      <c r="K30" s="317"/>
      <c r="L30" s="317"/>
      <c r="M30" s="317"/>
      <c r="N30" s="657">
        <f t="shared" si="4"/>
        <v>0</v>
      </c>
      <c r="O30" s="317"/>
      <c r="P30" s="317"/>
      <c r="Q30" s="657">
        <f t="shared" ref="Q30:Q41" si="7">N30+O30-P30</f>
        <v>0</v>
      </c>
      <c r="R30" s="683">
        <f t="shared" ref="R30:R41" si="8">J30-Q30</f>
        <v>0</v>
      </c>
    </row>
    <row r="31" spans="1:24">
      <c r="A31" s="325"/>
      <c r="B31" s="310" t="s">
        <v>110</v>
      </c>
      <c r="C31" s="143" t="s">
        <v>564</v>
      </c>
      <c r="D31" s="317"/>
      <c r="E31" s="661">
        <v>2074</v>
      </c>
      <c r="F31" s="661"/>
      <c r="G31" s="657">
        <f t="shared" si="2"/>
        <v>2074</v>
      </c>
      <c r="H31" s="317"/>
      <c r="I31" s="317"/>
      <c r="J31" s="657">
        <f t="shared" si="3"/>
        <v>2074</v>
      </c>
      <c r="K31" s="317"/>
      <c r="L31" s="317"/>
      <c r="M31" s="317"/>
      <c r="N31" s="657">
        <f t="shared" si="4"/>
        <v>0</v>
      </c>
      <c r="O31" s="317"/>
      <c r="P31" s="317"/>
      <c r="Q31" s="657">
        <f t="shared" si="7"/>
        <v>0</v>
      </c>
      <c r="R31" s="683">
        <f t="shared" si="8"/>
        <v>2074</v>
      </c>
    </row>
    <row r="32" spans="1:24">
      <c r="A32" s="325"/>
      <c r="B32" s="310" t="s">
        <v>113</v>
      </c>
      <c r="C32" s="143" t="s">
        <v>565</v>
      </c>
      <c r="D32" s="317">
        <v>62811</v>
      </c>
      <c r="E32" s="661">
        <v>12560</v>
      </c>
      <c r="F32" s="661">
        <v>60</v>
      </c>
      <c r="G32" s="657">
        <f t="shared" si="2"/>
        <v>75311</v>
      </c>
      <c r="H32" s="317"/>
      <c r="I32" s="317"/>
      <c r="J32" s="657">
        <f t="shared" si="3"/>
        <v>75311</v>
      </c>
      <c r="K32" s="317"/>
      <c r="L32" s="317"/>
      <c r="M32" s="317"/>
      <c r="N32" s="657">
        <f t="shared" si="4"/>
        <v>0</v>
      </c>
      <c r="O32" s="317"/>
      <c r="P32" s="317"/>
      <c r="Q32" s="657">
        <f t="shared" si="7"/>
        <v>0</v>
      </c>
      <c r="R32" s="683">
        <f t="shared" si="8"/>
        <v>75311</v>
      </c>
    </row>
    <row r="33" spans="1:18">
      <c r="A33" s="325"/>
      <c r="B33" s="310" t="s">
        <v>115</v>
      </c>
      <c r="C33" s="143" t="s">
        <v>566</v>
      </c>
      <c r="D33" s="317">
        <v>14294</v>
      </c>
      <c r="E33" s="661">
        <v>2556</v>
      </c>
      <c r="F33" s="661">
        <v>2006</v>
      </c>
      <c r="G33" s="657">
        <f t="shared" si="2"/>
        <v>14844</v>
      </c>
      <c r="H33" s="317">
        <v>742</v>
      </c>
      <c r="I33" s="317">
        <v>841</v>
      </c>
      <c r="J33" s="657">
        <f t="shared" si="3"/>
        <v>14745</v>
      </c>
      <c r="K33" s="317"/>
      <c r="L33" s="317"/>
      <c r="M33" s="317"/>
      <c r="N33" s="657">
        <f t="shared" si="4"/>
        <v>0</v>
      </c>
      <c r="O33" s="317"/>
      <c r="P33" s="317"/>
      <c r="Q33" s="657">
        <f t="shared" si="7"/>
        <v>0</v>
      </c>
      <c r="R33" s="683">
        <f t="shared" si="8"/>
        <v>14745</v>
      </c>
    </row>
    <row r="34" spans="1:18">
      <c r="A34" s="325" t="s">
        <v>524</v>
      </c>
      <c r="B34" s="315" t="s">
        <v>567</v>
      </c>
      <c r="C34" s="143" t="s">
        <v>568</v>
      </c>
      <c r="D34" s="313">
        <f>SUM(D35:D38)</f>
        <v>0</v>
      </c>
      <c r="E34" s="313">
        <f t="shared" ref="E34:P34" si="9">SUM(E35:E38)</f>
        <v>0</v>
      </c>
      <c r="F34" s="313">
        <f t="shared" si="9"/>
        <v>0</v>
      </c>
      <c r="G34" s="657">
        <f t="shared" si="2"/>
        <v>0</v>
      </c>
      <c r="H34" s="676">
        <f t="shared" si="9"/>
        <v>0</v>
      </c>
      <c r="I34" s="676">
        <f t="shared" si="9"/>
        <v>0</v>
      </c>
      <c r="J34" s="657">
        <f t="shared" si="3"/>
        <v>0</v>
      </c>
      <c r="K34" s="676">
        <f t="shared" si="9"/>
        <v>0</v>
      </c>
      <c r="L34" s="676">
        <f t="shared" si="9"/>
        <v>0</v>
      </c>
      <c r="M34" s="676">
        <f t="shared" si="9"/>
        <v>0</v>
      </c>
      <c r="N34" s="657">
        <f t="shared" si="4"/>
        <v>0</v>
      </c>
      <c r="O34" s="676">
        <f t="shared" si="9"/>
        <v>0</v>
      </c>
      <c r="P34" s="676">
        <f t="shared" si="9"/>
        <v>0</v>
      </c>
      <c r="Q34" s="657">
        <f t="shared" si="7"/>
        <v>0</v>
      </c>
      <c r="R34" s="683">
        <f t="shared" si="8"/>
        <v>0</v>
      </c>
    </row>
    <row r="35" spans="1:18">
      <c r="A35" s="325"/>
      <c r="B35" s="310" t="s">
        <v>121</v>
      </c>
      <c r="C35" s="143" t="s">
        <v>569</v>
      </c>
      <c r="D35" s="317"/>
      <c r="E35" s="317"/>
      <c r="F35" s="317"/>
      <c r="G35" s="318">
        <f t="shared" si="2"/>
        <v>0</v>
      </c>
      <c r="H35" s="317"/>
      <c r="I35" s="317"/>
      <c r="J35" s="318">
        <f t="shared" si="3"/>
        <v>0</v>
      </c>
      <c r="K35" s="317"/>
      <c r="L35" s="317"/>
      <c r="M35" s="317"/>
      <c r="N35" s="318">
        <f t="shared" si="4"/>
        <v>0</v>
      </c>
      <c r="O35" s="317"/>
      <c r="P35" s="317"/>
      <c r="Q35" s="318">
        <f t="shared" si="7"/>
        <v>0</v>
      </c>
      <c r="R35" s="683">
        <f t="shared" si="8"/>
        <v>0</v>
      </c>
    </row>
    <row r="36" spans="1:18">
      <c r="A36" s="325"/>
      <c r="B36" s="310" t="s">
        <v>570</v>
      </c>
      <c r="C36" s="143" t="s">
        <v>571</v>
      </c>
      <c r="D36" s="317"/>
      <c r="E36" s="317"/>
      <c r="F36" s="317"/>
      <c r="G36" s="318">
        <f t="shared" si="2"/>
        <v>0</v>
      </c>
      <c r="H36" s="317"/>
      <c r="I36" s="317"/>
      <c r="J36" s="318">
        <f t="shared" si="3"/>
        <v>0</v>
      </c>
      <c r="K36" s="317"/>
      <c r="L36" s="317"/>
      <c r="M36" s="317"/>
      <c r="N36" s="318">
        <f t="shared" si="4"/>
        <v>0</v>
      </c>
      <c r="O36" s="317"/>
      <c r="P36" s="317"/>
      <c r="Q36" s="318">
        <f t="shared" si="7"/>
        <v>0</v>
      </c>
      <c r="R36" s="683">
        <f t="shared" si="8"/>
        <v>0</v>
      </c>
    </row>
    <row r="37" spans="1:18">
      <c r="A37" s="325"/>
      <c r="B37" s="310" t="s">
        <v>572</v>
      </c>
      <c r="C37" s="143" t="s">
        <v>573</v>
      </c>
      <c r="D37" s="317"/>
      <c r="E37" s="317"/>
      <c r="F37" s="317"/>
      <c r="G37" s="318">
        <f t="shared" si="2"/>
        <v>0</v>
      </c>
      <c r="H37" s="317"/>
      <c r="I37" s="317"/>
      <c r="J37" s="318">
        <f t="shared" si="3"/>
        <v>0</v>
      </c>
      <c r="K37" s="317"/>
      <c r="L37" s="317"/>
      <c r="M37" s="317"/>
      <c r="N37" s="318">
        <f t="shared" si="4"/>
        <v>0</v>
      </c>
      <c r="O37" s="317"/>
      <c r="P37" s="317"/>
      <c r="Q37" s="318">
        <f t="shared" si="7"/>
        <v>0</v>
      </c>
      <c r="R37" s="683">
        <f t="shared" si="8"/>
        <v>0</v>
      </c>
    </row>
    <row r="38" spans="1:18">
      <c r="A38" s="325"/>
      <c r="B38" s="310" t="s">
        <v>574</v>
      </c>
      <c r="C38" s="143" t="s">
        <v>575</v>
      </c>
      <c r="D38" s="317"/>
      <c r="E38" s="317"/>
      <c r="F38" s="317"/>
      <c r="G38" s="318">
        <f t="shared" si="2"/>
        <v>0</v>
      </c>
      <c r="H38" s="317"/>
      <c r="I38" s="317"/>
      <c r="J38" s="318">
        <f t="shared" si="3"/>
        <v>0</v>
      </c>
      <c r="K38" s="317"/>
      <c r="L38" s="317"/>
      <c r="M38" s="317"/>
      <c r="N38" s="318">
        <f t="shared" si="4"/>
        <v>0</v>
      </c>
      <c r="O38" s="317"/>
      <c r="P38" s="317"/>
      <c r="Q38" s="318">
        <f t="shared" si="7"/>
        <v>0</v>
      </c>
      <c r="R38" s="683">
        <f t="shared" si="8"/>
        <v>0</v>
      </c>
    </row>
    <row r="39" spans="1:18">
      <c r="A39" s="325" t="s">
        <v>527</v>
      </c>
      <c r="B39" s="310" t="s">
        <v>542</v>
      </c>
      <c r="C39" s="143" t="s">
        <v>576</v>
      </c>
      <c r="D39" s="317"/>
      <c r="E39" s="317"/>
      <c r="F39" s="317"/>
      <c r="G39" s="318">
        <f t="shared" si="2"/>
        <v>0</v>
      </c>
      <c r="H39" s="317"/>
      <c r="I39" s="317"/>
      <c r="J39" s="318">
        <f t="shared" si="3"/>
        <v>0</v>
      </c>
      <c r="K39" s="317"/>
      <c r="L39" s="317"/>
      <c r="M39" s="317"/>
      <c r="N39" s="318">
        <f t="shared" si="4"/>
        <v>0</v>
      </c>
      <c r="O39" s="317"/>
      <c r="P39" s="317"/>
      <c r="Q39" s="318">
        <f t="shared" si="7"/>
        <v>0</v>
      </c>
      <c r="R39" s="683">
        <f t="shared" si="8"/>
        <v>0</v>
      </c>
    </row>
    <row r="40" spans="1:18">
      <c r="A40" s="325"/>
      <c r="B40" s="311" t="s">
        <v>577</v>
      </c>
      <c r="C40" s="147" t="s">
        <v>578</v>
      </c>
      <c r="D40" s="675">
        <f>D29+D34+D39</f>
        <v>77105</v>
      </c>
      <c r="E40" s="675">
        <f t="shared" ref="E40:P40" si="10">E29+E34+E39</f>
        <v>17190</v>
      </c>
      <c r="F40" s="675">
        <f t="shared" si="10"/>
        <v>2066</v>
      </c>
      <c r="G40" s="681">
        <f t="shared" si="2"/>
        <v>92229</v>
      </c>
      <c r="H40" s="319">
        <f t="shared" si="10"/>
        <v>742</v>
      </c>
      <c r="I40" s="319">
        <f t="shared" si="10"/>
        <v>841</v>
      </c>
      <c r="J40" s="690">
        <f t="shared" si="3"/>
        <v>92130</v>
      </c>
      <c r="K40" s="319">
        <f t="shared" si="10"/>
        <v>0</v>
      </c>
      <c r="L40" s="319">
        <f t="shared" si="10"/>
        <v>0</v>
      </c>
      <c r="M40" s="319">
        <f t="shared" si="10"/>
        <v>0</v>
      </c>
      <c r="N40" s="318">
        <f t="shared" si="4"/>
        <v>0</v>
      </c>
      <c r="O40" s="319">
        <f t="shared" si="10"/>
        <v>0</v>
      </c>
      <c r="P40" s="319">
        <f t="shared" si="10"/>
        <v>0</v>
      </c>
      <c r="Q40" s="318">
        <f t="shared" si="7"/>
        <v>0</v>
      </c>
      <c r="R40" s="683">
        <f t="shared" si="8"/>
        <v>92130</v>
      </c>
    </row>
    <row r="41" spans="1:18">
      <c r="A41" s="326" t="s">
        <v>579</v>
      </c>
      <c r="B41" s="316" t="s">
        <v>580</v>
      </c>
      <c r="C41" s="147" t="s">
        <v>581</v>
      </c>
      <c r="D41" s="317">
        <v>31157</v>
      </c>
      <c r="E41" s="317">
        <v>148</v>
      </c>
      <c r="F41" s="317"/>
      <c r="G41" s="657">
        <f t="shared" si="2"/>
        <v>31305</v>
      </c>
      <c r="H41" s="317"/>
      <c r="I41" s="317"/>
      <c r="J41" s="657">
        <f t="shared" si="3"/>
        <v>31305</v>
      </c>
      <c r="K41" s="317">
        <v>17888</v>
      </c>
      <c r="L41" s="317"/>
      <c r="M41" s="317"/>
      <c r="N41" s="657">
        <f t="shared" si="4"/>
        <v>17888</v>
      </c>
      <c r="O41" s="317"/>
      <c r="P41" s="317"/>
      <c r="Q41" s="657">
        <f t="shared" si="7"/>
        <v>17888</v>
      </c>
      <c r="R41" s="683">
        <f t="shared" si="8"/>
        <v>13417</v>
      </c>
    </row>
    <row r="42" spans="1:18" ht="16.5" thickBot="1">
      <c r="A42" s="328"/>
      <c r="B42" s="329" t="s">
        <v>582</v>
      </c>
      <c r="C42" s="330" t="s">
        <v>583</v>
      </c>
      <c r="D42" s="688">
        <f>D19+D20+D21+D27+D40+D41</f>
        <v>903594</v>
      </c>
      <c r="E42" s="688">
        <f>E19+E20+E21+E27+E40+E41</f>
        <v>69347</v>
      </c>
      <c r="F42" s="688">
        <f t="shared" ref="F42:R42" si="11">F19+F20+F21+F27+F40+F41</f>
        <v>56907</v>
      </c>
      <c r="G42" s="688">
        <f t="shared" si="11"/>
        <v>916034</v>
      </c>
      <c r="H42" s="331">
        <f t="shared" si="11"/>
        <v>742</v>
      </c>
      <c r="I42" s="331">
        <f t="shared" si="11"/>
        <v>2968</v>
      </c>
      <c r="J42" s="688">
        <f t="shared" si="11"/>
        <v>913808</v>
      </c>
      <c r="K42" s="688">
        <f t="shared" si="11"/>
        <v>347385</v>
      </c>
      <c r="L42" s="688">
        <f t="shared" si="11"/>
        <v>41848</v>
      </c>
      <c r="M42" s="688">
        <f t="shared" si="11"/>
        <v>23461</v>
      </c>
      <c r="N42" s="688">
        <f t="shared" si="11"/>
        <v>365772</v>
      </c>
      <c r="O42" s="688">
        <f t="shared" si="11"/>
        <v>0</v>
      </c>
      <c r="P42" s="688">
        <f t="shared" si="11"/>
        <v>9</v>
      </c>
      <c r="Q42" s="688">
        <f t="shared" si="11"/>
        <v>365763</v>
      </c>
      <c r="R42" s="687">
        <f t="shared" si="11"/>
        <v>548045</v>
      </c>
    </row>
    <row r="43" spans="1:18">
      <c r="A43" s="481"/>
      <c r="B43" s="481"/>
      <c r="C43" s="481"/>
      <c r="D43" s="482"/>
      <c r="E43" s="482"/>
      <c r="F43" s="482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</row>
    <row r="44" spans="1:18">
      <c r="A44" s="481"/>
      <c r="B44" s="481" t="s">
        <v>584</v>
      </c>
      <c r="C44" s="481"/>
      <c r="D44" s="484"/>
      <c r="E44" s="484"/>
      <c r="F44" s="484"/>
      <c r="G44" s="485"/>
      <c r="H44" s="485"/>
      <c r="I44" s="485"/>
      <c r="J44" s="485"/>
      <c r="K44" s="485"/>
      <c r="L44" s="485"/>
      <c r="M44" s="485"/>
      <c r="N44" s="485"/>
      <c r="O44" s="485"/>
      <c r="P44" s="485"/>
      <c r="Q44" s="485"/>
      <c r="R44" s="483"/>
    </row>
    <row r="45" spans="1:18">
      <c r="A45" s="481"/>
      <c r="B45" s="649" t="s">
        <v>950</v>
      </c>
      <c r="C45" s="705">
        <f>pdeReportingDate</f>
        <v>44529</v>
      </c>
      <c r="D45" s="705"/>
      <c r="E45" s="705"/>
      <c r="F45" s="705"/>
      <c r="G45" s="705"/>
      <c r="H45" s="705"/>
      <c r="I45" s="705"/>
      <c r="J45" s="485"/>
      <c r="K45" s="485"/>
      <c r="L45" s="485"/>
      <c r="M45" s="485"/>
      <c r="N45" s="485"/>
      <c r="O45" s="485"/>
      <c r="P45" s="485"/>
      <c r="Q45" s="485"/>
      <c r="R45" s="485"/>
    </row>
    <row r="46" spans="1:18">
      <c r="A46" s="481"/>
      <c r="B46" s="649"/>
      <c r="C46" s="671"/>
      <c r="D46" s="671"/>
      <c r="E46" s="671"/>
      <c r="F46" s="671"/>
      <c r="G46" s="671"/>
      <c r="H46" s="671"/>
      <c r="I46" s="671"/>
      <c r="J46" s="485"/>
      <c r="K46" s="485"/>
      <c r="L46" s="485"/>
      <c r="M46" s="485"/>
      <c r="N46" s="485"/>
      <c r="O46" s="485"/>
      <c r="P46" s="485"/>
      <c r="Q46" s="485"/>
      <c r="R46" s="485"/>
    </row>
    <row r="47" spans="1:18">
      <c r="B47" s="649"/>
      <c r="C47" s="51"/>
      <c r="D47" s="51"/>
      <c r="E47" s="51"/>
      <c r="F47" s="51"/>
      <c r="G47" s="51"/>
      <c r="H47" s="51"/>
      <c r="I47" s="51"/>
    </row>
    <row r="48" spans="1:18">
      <c r="B48" s="650" t="s">
        <v>8</v>
      </c>
      <c r="C48" s="706" t="str">
        <f>authorName</f>
        <v>Людмила Бонджова</v>
      </c>
      <c r="D48" s="706"/>
      <c r="E48" s="706"/>
      <c r="F48" s="706"/>
      <c r="G48" s="706"/>
      <c r="H48" s="706"/>
      <c r="I48" s="706"/>
    </row>
    <row r="49" spans="2:9">
      <c r="B49" s="650"/>
      <c r="C49" s="658"/>
      <c r="D49" s="658"/>
      <c r="E49" s="658"/>
      <c r="F49" s="658"/>
      <c r="G49" s="658"/>
      <c r="H49" s="658"/>
      <c r="I49" s="658"/>
    </row>
    <row r="50" spans="2:9">
      <c r="B50" s="650"/>
      <c r="C50" s="658"/>
      <c r="D50" s="658"/>
      <c r="E50" s="658"/>
      <c r="F50" s="658"/>
      <c r="G50" s="658"/>
      <c r="H50" s="658"/>
      <c r="I50" s="658"/>
    </row>
    <row r="51" spans="2:9">
      <c r="B51" s="650" t="s">
        <v>894</v>
      </c>
      <c r="C51" s="707"/>
      <c r="D51" s="707"/>
      <c r="E51" s="707"/>
      <c r="F51" s="707"/>
      <c r="G51" s="707"/>
      <c r="H51" s="707"/>
      <c r="I51" s="707"/>
    </row>
    <row r="52" spans="2:9">
      <c r="B52" s="651"/>
      <c r="C52" s="708" t="str">
        <f>+Начална!B17</f>
        <v>Огнян Донев</v>
      </c>
      <c r="D52" s="704"/>
      <c r="E52" s="704"/>
      <c r="F52" s="704"/>
      <c r="G52" s="533"/>
      <c r="H52" s="44"/>
      <c r="I52" s="41"/>
    </row>
    <row r="53" spans="2:9">
      <c r="B53" s="651"/>
      <c r="C53" s="704"/>
      <c r="D53" s="704"/>
      <c r="E53" s="704"/>
      <c r="F53" s="704"/>
      <c r="G53" s="533"/>
      <c r="H53" s="44"/>
      <c r="I53" s="41"/>
    </row>
    <row r="54" spans="2:9">
      <c r="B54" s="651"/>
      <c r="C54" s="704"/>
      <c r="D54" s="704"/>
      <c r="E54" s="704"/>
      <c r="F54" s="704"/>
      <c r="G54" s="533"/>
      <c r="H54" s="44"/>
      <c r="I54" s="41"/>
    </row>
    <row r="55" spans="2:9">
      <c r="B55" s="651"/>
      <c r="C55" s="704"/>
      <c r="D55" s="704"/>
      <c r="E55" s="704"/>
      <c r="F55" s="704"/>
      <c r="G55" s="533"/>
      <c r="H55" s="44"/>
      <c r="I55" s="41"/>
    </row>
    <row r="56" spans="2:9">
      <c r="B56" s="651"/>
      <c r="C56" s="704"/>
      <c r="D56" s="704"/>
      <c r="E56" s="704"/>
      <c r="F56" s="704"/>
      <c r="G56" s="533"/>
      <c r="H56" s="44"/>
      <c r="I56" s="41"/>
    </row>
    <row r="57" spans="2:9">
      <c r="B57" s="651"/>
      <c r="C57" s="704"/>
      <c r="D57" s="704"/>
      <c r="E57" s="704"/>
      <c r="F57" s="704"/>
      <c r="G57" s="533"/>
      <c r="H57" s="44"/>
      <c r="I57" s="41"/>
    </row>
    <row r="58" spans="2:9">
      <c r="B58" s="651"/>
      <c r="C58" s="704"/>
      <c r="D58" s="704"/>
      <c r="E58" s="704"/>
      <c r="F58" s="704"/>
      <c r="G58" s="533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DE3D9EAF-1767-451E-80FE-3028500A9C7F}" scale="90" fitToPage="1">
      <pane xSplit="2" ySplit="10" topLeftCell="C11" activePane="bottomRight" state="frozen"/>
      <selection pane="bottomRight" activeCell="B1" sqref="B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1"/>
      <headerFooter alignWithMargins="0"/>
    </customSheetView>
    <customSheetView guid="{17A0B690-90B4-478F-B629-540D801E18FD}" scale="80" fitToPage="1">
      <pane xSplit="2" ySplit="10" topLeftCell="O11" activePane="bottomRight" state="frozen"/>
      <selection pane="bottomRight" activeCell="R21" activeCellId="1" sqref="R19 R2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07871067-5294-4FEE-88CE-4A4A5BC97EF0}" scale="80" fitToPage="1">
      <pane xSplit="2" ySplit="10" topLeftCell="C11" activePane="bottomRight" state="frozen"/>
      <selection pane="bottomRight" activeCell="M6" sqref="M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  <customSheetView guid="{F2D4D9F9-DE61-45A3-92A2-4E78F2B34B7F}" scale="80" showPageBreaks="1" fitToPage="1" printArea="1">
      <pane xSplit="2" ySplit="10" topLeftCell="C11" activePane="bottomRight" state="frozen"/>
      <selection pane="bottomRight" activeCell="F32" sqref="F32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4"/>
      <headerFooter alignWithMargins="0"/>
    </customSheetView>
  </customSheetViews>
  <mergeCells count="15">
    <mergeCell ref="C45:I45"/>
    <mergeCell ref="Q7:Q8"/>
    <mergeCell ref="R7:R8"/>
    <mergeCell ref="A7:B8"/>
    <mergeCell ref="C7:C8"/>
    <mergeCell ref="J7:J8"/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A124"/>
  <sheetViews>
    <sheetView zoomScale="90" zoomScaleNormal="90" workbookViewId="0"/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30.09.2021 г.</v>
      </c>
      <c r="B5" s="46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35" t="s">
        <v>453</v>
      </c>
      <c r="B8" s="737" t="s">
        <v>11</v>
      </c>
      <c r="C8" s="733" t="s">
        <v>587</v>
      </c>
      <c r="D8" s="346" t="s">
        <v>588</v>
      </c>
      <c r="E8" s="347"/>
      <c r="F8" s="118"/>
    </row>
    <row r="9" spans="1:6" s="119" customFormat="1">
      <c r="A9" s="736"/>
      <c r="B9" s="738"/>
      <c r="C9" s="734"/>
      <c r="D9" s="122" t="s">
        <v>589</v>
      </c>
      <c r="E9" s="348" t="s">
        <v>590</v>
      </c>
      <c r="F9" s="118"/>
    </row>
    <row r="10" spans="1:6" s="119" customFormat="1" ht="16.5" thickBot="1">
      <c r="A10" s="410" t="s">
        <v>17</v>
      </c>
      <c r="B10" s="411" t="s">
        <v>18</v>
      </c>
      <c r="C10" s="412">
        <v>1</v>
      </c>
      <c r="D10" s="412">
        <v>2</v>
      </c>
      <c r="E10" s="428">
        <v>3</v>
      </c>
      <c r="F10" s="118"/>
    </row>
    <row r="11" spans="1:6" ht="16.5" thickBot="1">
      <c r="A11" s="356" t="s">
        <v>591</v>
      </c>
      <c r="B11" s="357" t="s">
        <v>592</v>
      </c>
      <c r="C11" s="358"/>
      <c r="D11" s="358"/>
      <c r="E11" s="359">
        <f>C11-D11</f>
        <v>0</v>
      </c>
      <c r="F11" s="124"/>
    </row>
    <row r="12" spans="1:6">
      <c r="A12" s="354" t="s">
        <v>593</v>
      </c>
      <c r="B12" s="345"/>
      <c r="C12" s="364"/>
      <c r="D12" s="364"/>
      <c r="E12" s="355"/>
      <c r="F12" s="124"/>
    </row>
    <row r="13" spans="1:6">
      <c r="A13" s="351" t="s">
        <v>594</v>
      </c>
      <c r="B13" s="126" t="s">
        <v>595</v>
      </c>
      <c r="C13" s="343">
        <f>SUM(C14:C16)</f>
        <v>51277</v>
      </c>
      <c r="D13" s="343">
        <f>SUM(D14:D16)</f>
        <v>0</v>
      </c>
      <c r="E13" s="350">
        <f>SUM(E14:E16)</f>
        <v>51277</v>
      </c>
      <c r="F13" s="124"/>
    </row>
    <row r="14" spans="1:6">
      <c r="A14" s="351" t="s">
        <v>596</v>
      </c>
      <c r="B14" s="126" t="s">
        <v>597</v>
      </c>
      <c r="C14" s="349">
        <v>51276</v>
      </c>
      <c r="D14" s="349"/>
      <c r="E14" s="350">
        <f t="shared" ref="E14:E44" si="0">C14-D14</f>
        <v>51276</v>
      </c>
      <c r="F14" s="124"/>
    </row>
    <row r="15" spans="1:6">
      <c r="A15" s="351" t="s">
        <v>598</v>
      </c>
      <c r="B15" s="126" t="s">
        <v>599</v>
      </c>
      <c r="C15" s="349"/>
      <c r="D15" s="349"/>
      <c r="E15" s="350">
        <f t="shared" si="0"/>
        <v>0</v>
      </c>
      <c r="F15" s="124"/>
    </row>
    <row r="16" spans="1:6">
      <c r="A16" s="351" t="s">
        <v>600</v>
      </c>
      <c r="B16" s="126" t="s">
        <v>601</v>
      </c>
      <c r="C16" s="349">
        <v>1</v>
      </c>
      <c r="D16" s="349"/>
      <c r="E16" s="350">
        <f t="shared" si="0"/>
        <v>1</v>
      </c>
      <c r="F16" s="124"/>
    </row>
    <row r="17" spans="1:6">
      <c r="A17" s="351" t="s">
        <v>602</v>
      </c>
      <c r="B17" s="126" t="s">
        <v>603</v>
      </c>
      <c r="C17" s="349">
        <v>7770</v>
      </c>
      <c r="D17" s="349"/>
      <c r="E17" s="350">
        <f t="shared" si="0"/>
        <v>7770</v>
      </c>
      <c r="F17" s="124"/>
    </row>
    <row r="18" spans="1:6">
      <c r="A18" s="351" t="s">
        <v>604</v>
      </c>
      <c r="B18" s="126" t="s">
        <v>605</v>
      </c>
      <c r="C18" s="343">
        <f>+C19+C20</f>
        <v>4045</v>
      </c>
      <c r="D18" s="343">
        <f>+D19+D20</f>
        <v>0</v>
      </c>
      <c r="E18" s="350">
        <f t="shared" si="0"/>
        <v>4045</v>
      </c>
      <c r="F18" s="124"/>
    </row>
    <row r="19" spans="1:6">
      <c r="A19" s="351" t="s">
        <v>606</v>
      </c>
      <c r="B19" s="126" t="s">
        <v>607</v>
      </c>
      <c r="C19" s="349"/>
      <c r="D19" s="349"/>
      <c r="E19" s="350">
        <f t="shared" si="0"/>
        <v>0</v>
      </c>
      <c r="F19" s="124"/>
    </row>
    <row r="20" spans="1:6">
      <c r="A20" s="351" t="s">
        <v>600</v>
      </c>
      <c r="B20" s="126" t="s">
        <v>608</v>
      </c>
      <c r="C20" s="349">
        <v>4045</v>
      </c>
      <c r="D20" s="349"/>
      <c r="E20" s="350">
        <f t="shared" si="0"/>
        <v>4045</v>
      </c>
      <c r="F20" s="124"/>
    </row>
    <row r="21" spans="1:6" ht="16.5" thickBot="1">
      <c r="A21" s="365" t="s">
        <v>609</v>
      </c>
      <c r="B21" s="366" t="s">
        <v>610</v>
      </c>
      <c r="C21" s="421">
        <f>C13+C17+C18</f>
        <v>63092</v>
      </c>
      <c r="D21" s="421">
        <f>D13+D17+D18</f>
        <v>0</v>
      </c>
      <c r="E21" s="422">
        <f>E13+E17+E18</f>
        <v>63092</v>
      </c>
      <c r="F21" s="124"/>
    </row>
    <row r="22" spans="1:6">
      <c r="A22" s="354" t="s">
        <v>611</v>
      </c>
      <c r="B22" s="345"/>
      <c r="C22" s="368"/>
      <c r="D22" s="364"/>
      <c r="E22" s="355">
        <f t="shared" si="0"/>
        <v>0</v>
      </c>
      <c r="F22" s="124"/>
    </row>
    <row r="23" spans="1:6">
      <c r="A23" s="351" t="s">
        <v>612</v>
      </c>
      <c r="B23" s="123" t="s">
        <v>613</v>
      </c>
      <c r="C23" s="424">
        <v>182</v>
      </c>
      <c r="D23" s="424"/>
      <c r="E23" s="423">
        <f t="shared" si="0"/>
        <v>182</v>
      </c>
      <c r="F23" s="124"/>
    </row>
    <row r="24" spans="1:6" ht="16.5" thickBot="1">
      <c r="A24" s="369"/>
      <c r="B24" s="352"/>
      <c r="C24" s="370"/>
      <c r="D24" s="353"/>
      <c r="E24" s="371"/>
      <c r="F24" s="124"/>
    </row>
    <row r="25" spans="1:6">
      <c r="A25" s="360" t="s">
        <v>614</v>
      </c>
      <c r="B25" s="367"/>
      <c r="C25" s="361"/>
      <c r="D25" s="362"/>
      <c r="E25" s="363"/>
      <c r="F25" s="124"/>
    </row>
    <row r="26" spans="1:6">
      <c r="A26" s="351" t="s">
        <v>615</v>
      </c>
      <c r="B26" s="126" t="s">
        <v>616</v>
      </c>
      <c r="C26" s="343">
        <f>SUM(C27:C29)</f>
        <v>9274</v>
      </c>
      <c r="D26" s="343">
        <f>SUM(D27:D29)</f>
        <v>9274</v>
      </c>
      <c r="E26" s="350">
        <f>SUM(E27:E29)</f>
        <v>0</v>
      </c>
      <c r="F26" s="124"/>
    </row>
    <row r="27" spans="1:6">
      <c r="A27" s="351" t="s">
        <v>617</v>
      </c>
      <c r="B27" s="126" t="s">
        <v>618</v>
      </c>
      <c r="C27" s="349">
        <v>8703</v>
      </c>
      <c r="D27" s="349">
        <v>8703</v>
      </c>
      <c r="E27" s="350">
        <f t="shared" si="0"/>
        <v>0</v>
      </c>
      <c r="F27" s="124"/>
    </row>
    <row r="28" spans="1:6">
      <c r="A28" s="351" t="s">
        <v>619</v>
      </c>
      <c r="B28" s="126" t="s">
        <v>620</v>
      </c>
      <c r="C28" s="349">
        <v>557</v>
      </c>
      <c r="D28" s="349">
        <v>557</v>
      </c>
      <c r="E28" s="350">
        <f t="shared" si="0"/>
        <v>0</v>
      </c>
      <c r="F28" s="124"/>
    </row>
    <row r="29" spans="1:6">
      <c r="A29" s="351" t="s">
        <v>621</v>
      </c>
      <c r="B29" s="126" t="s">
        <v>622</v>
      </c>
      <c r="C29" s="349">
        <v>14</v>
      </c>
      <c r="D29" s="349">
        <v>14</v>
      </c>
      <c r="E29" s="350">
        <f t="shared" si="0"/>
        <v>0</v>
      </c>
      <c r="F29" s="124"/>
    </row>
    <row r="30" spans="1:6">
      <c r="A30" s="351" t="s">
        <v>623</v>
      </c>
      <c r="B30" s="126" t="s">
        <v>624</v>
      </c>
      <c r="C30" s="349">
        <v>246920</v>
      </c>
      <c r="D30" s="349">
        <v>246920</v>
      </c>
      <c r="E30" s="350">
        <f t="shared" si="0"/>
        <v>0</v>
      </c>
      <c r="F30" s="124"/>
    </row>
    <row r="31" spans="1:6">
      <c r="A31" s="351" t="s">
        <v>625</v>
      </c>
      <c r="B31" s="126" t="s">
        <v>626</v>
      </c>
      <c r="C31" s="349">
        <v>26390</v>
      </c>
      <c r="D31" s="349">
        <v>26390</v>
      </c>
      <c r="E31" s="350">
        <f t="shared" si="0"/>
        <v>0</v>
      </c>
      <c r="F31" s="124"/>
    </row>
    <row r="32" spans="1:6">
      <c r="A32" s="351" t="s">
        <v>627</v>
      </c>
      <c r="B32" s="126" t="s">
        <v>628</v>
      </c>
      <c r="C32" s="349">
        <v>1507</v>
      </c>
      <c r="D32" s="349">
        <v>1507</v>
      </c>
      <c r="E32" s="350">
        <f t="shared" si="0"/>
        <v>0</v>
      </c>
      <c r="F32" s="124"/>
    </row>
    <row r="33" spans="1:27">
      <c r="A33" s="351" t="s">
        <v>629</v>
      </c>
      <c r="B33" s="126" t="s">
        <v>630</v>
      </c>
      <c r="C33" s="349">
        <v>15432</v>
      </c>
      <c r="D33" s="349">
        <v>15432</v>
      </c>
      <c r="E33" s="350">
        <f t="shared" si="0"/>
        <v>0</v>
      </c>
      <c r="F33" s="124"/>
    </row>
    <row r="34" spans="1:27">
      <c r="A34" s="351" t="s">
        <v>631</v>
      </c>
      <c r="B34" s="126" t="s">
        <v>632</v>
      </c>
      <c r="C34" s="349"/>
      <c r="D34" s="349"/>
      <c r="E34" s="350">
        <f t="shared" si="0"/>
        <v>0</v>
      </c>
      <c r="F34" s="124"/>
    </row>
    <row r="35" spans="1:27">
      <c r="A35" s="351" t="s">
        <v>633</v>
      </c>
      <c r="B35" s="126" t="s">
        <v>634</v>
      </c>
      <c r="C35" s="343">
        <f>SUM(C36:C39)</f>
        <v>16448</v>
      </c>
      <c r="D35" s="343">
        <f>SUM(D36:D39)</f>
        <v>16448</v>
      </c>
      <c r="E35" s="350">
        <f>SUM(E36:E39)</f>
        <v>0</v>
      </c>
      <c r="F35" s="124"/>
    </row>
    <row r="36" spans="1:27">
      <c r="A36" s="351" t="s">
        <v>635</v>
      </c>
      <c r="B36" s="126" t="s">
        <v>636</v>
      </c>
      <c r="C36" s="349">
        <v>1247</v>
      </c>
      <c r="D36" s="349">
        <v>1247</v>
      </c>
      <c r="E36" s="350">
        <f t="shared" si="0"/>
        <v>0</v>
      </c>
      <c r="F36" s="124"/>
    </row>
    <row r="37" spans="1:27">
      <c r="A37" s="351" t="s">
        <v>637</v>
      </c>
      <c r="B37" s="126" t="s">
        <v>638</v>
      </c>
      <c r="C37" s="349">
        <v>9780</v>
      </c>
      <c r="D37" s="349">
        <v>9780</v>
      </c>
      <c r="E37" s="350">
        <f t="shared" si="0"/>
        <v>0</v>
      </c>
      <c r="F37" s="124"/>
    </row>
    <row r="38" spans="1:27">
      <c r="A38" s="351" t="s">
        <v>639</v>
      </c>
      <c r="B38" s="126" t="s">
        <v>640</v>
      </c>
      <c r="C38" s="349"/>
      <c r="D38" s="349"/>
      <c r="E38" s="350">
        <f t="shared" si="0"/>
        <v>0</v>
      </c>
      <c r="F38" s="124"/>
    </row>
    <row r="39" spans="1:27">
      <c r="A39" s="351" t="s">
        <v>641</v>
      </c>
      <c r="B39" s="126" t="s">
        <v>642</v>
      </c>
      <c r="C39" s="349">
        <v>5421</v>
      </c>
      <c r="D39" s="349">
        <v>5421</v>
      </c>
      <c r="E39" s="350">
        <f t="shared" si="0"/>
        <v>0</v>
      </c>
      <c r="F39" s="124"/>
    </row>
    <row r="40" spans="1:27">
      <c r="A40" s="351" t="s">
        <v>643</v>
      </c>
      <c r="B40" s="126" t="s">
        <v>644</v>
      </c>
      <c r="C40" s="343">
        <f>SUM(C41:C44)</f>
        <v>4870</v>
      </c>
      <c r="D40" s="343">
        <f>SUM(D41:D44)</f>
        <v>4870</v>
      </c>
      <c r="E40" s="350">
        <f>SUM(E41:E44)</f>
        <v>0</v>
      </c>
      <c r="F40" s="124"/>
    </row>
    <row r="41" spans="1:27">
      <c r="A41" s="351" t="s">
        <v>645</v>
      </c>
      <c r="B41" s="126" t="s">
        <v>646</v>
      </c>
      <c r="C41" s="349"/>
      <c r="D41" s="349"/>
      <c r="E41" s="350">
        <f t="shared" si="0"/>
        <v>0</v>
      </c>
      <c r="F41" s="124"/>
    </row>
    <row r="42" spans="1:27">
      <c r="A42" s="351" t="s">
        <v>647</v>
      </c>
      <c r="B42" s="126" t="s">
        <v>648</v>
      </c>
      <c r="C42" s="349"/>
      <c r="D42" s="349"/>
      <c r="E42" s="350">
        <f t="shared" si="0"/>
        <v>0</v>
      </c>
      <c r="F42" s="124"/>
    </row>
    <row r="43" spans="1:27">
      <c r="A43" s="351" t="s">
        <v>649</v>
      </c>
      <c r="B43" s="126" t="s">
        <v>650</v>
      </c>
      <c r="C43" s="349"/>
      <c r="D43" s="349"/>
      <c r="E43" s="350">
        <f t="shared" si="0"/>
        <v>0</v>
      </c>
      <c r="F43" s="124"/>
    </row>
    <row r="44" spans="1:27">
      <c r="A44" s="351" t="s">
        <v>651</v>
      </c>
      <c r="B44" s="126" t="s">
        <v>652</v>
      </c>
      <c r="C44" s="349">
        <v>4870</v>
      </c>
      <c r="D44" s="349">
        <v>4870</v>
      </c>
      <c r="E44" s="350">
        <f t="shared" si="0"/>
        <v>0</v>
      </c>
      <c r="F44" s="124"/>
    </row>
    <row r="45" spans="1:27" ht="16.5" thickBot="1">
      <c r="A45" s="372" t="s">
        <v>653</v>
      </c>
      <c r="B45" s="373" t="s">
        <v>654</v>
      </c>
      <c r="C45" s="419">
        <f>C26+C30+C31+C33+C32+C34+C35+C40</f>
        <v>320841</v>
      </c>
      <c r="D45" s="419">
        <f>D26+D30+D31+D33+D32+D34+D35+D40</f>
        <v>320841</v>
      </c>
      <c r="E45" s="420">
        <f>E26+E30+E31+E33+E32+E34+E35+E40</f>
        <v>0</v>
      </c>
      <c r="F45" s="124"/>
    </row>
    <row r="46" spans="1:27" ht="16.5" thickBot="1">
      <c r="A46" s="374" t="s">
        <v>655</v>
      </c>
      <c r="B46" s="375" t="s">
        <v>656</v>
      </c>
      <c r="C46" s="425">
        <f>C45+C23+C21+C11</f>
        <v>384115</v>
      </c>
      <c r="D46" s="425">
        <f>D45+D23+D21+D11</f>
        <v>320841</v>
      </c>
      <c r="E46" s="426">
        <f>E45+E23+E21+E11</f>
        <v>63274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5" t="s">
        <v>453</v>
      </c>
      <c r="B50" s="737" t="s">
        <v>11</v>
      </c>
      <c r="C50" s="739" t="s">
        <v>658</v>
      </c>
      <c r="D50" s="346" t="s">
        <v>659</v>
      </c>
      <c r="E50" s="346"/>
      <c r="F50" s="741" t="s">
        <v>660</v>
      </c>
    </row>
    <row r="51" spans="1:6" s="119" customFormat="1" ht="18" customHeight="1">
      <c r="A51" s="736"/>
      <c r="B51" s="738"/>
      <c r="C51" s="740"/>
      <c r="D51" s="121" t="s">
        <v>589</v>
      </c>
      <c r="E51" s="121" t="s">
        <v>590</v>
      </c>
      <c r="F51" s="742"/>
    </row>
    <row r="52" spans="1:6" s="119" customFormat="1" ht="16.5" thickBot="1">
      <c r="A52" s="410" t="s">
        <v>17</v>
      </c>
      <c r="B52" s="411" t="s">
        <v>18</v>
      </c>
      <c r="C52" s="412">
        <v>1</v>
      </c>
      <c r="D52" s="412">
        <v>2</v>
      </c>
      <c r="E52" s="427">
        <v>3</v>
      </c>
      <c r="F52" s="413">
        <v>4</v>
      </c>
    </row>
    <row r="53" spans="1:6">
      <c r="A53" s="354" t="s">
        <v>661</v>
      </c>
      <c r="B53" s="386"/>
      <c r="C53" s="387"/>
      <c r="D53" s="387"/>
      <c r="E53" s="387"/>
      <c r="F53" s="388"/>
    </row>
    <row r="54" spans="1:6">
      <c r="A54" s="351" t="s">
        <v>662</v>
      </c>
      <c r="B54" s="126" t="s">
        <v>663</v>
      </c>
      <c r="C54" s="129">
        <f>SUM(C55:C57)</f>
        <v>8882</v>
      </c>
      <c r="D54" s="129">
        <f>SUM(D55:D57)</f>
        <v>0</v>
      </c>
      <c r="E54" s="127">
        <f>C54-D54</f>
        <v>8882</v>
      </c>
      <c r="F54" s="378">
        <f>SUM(F55:F57)</f>
        <v>0</v>
      </c>
    </row>
    <row r="55" spans="1:6">
      <c r="A55" s="35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1" t="s">
        <v>666</v>
      </c>
      <c r="B56" s="126" t="s">
        <v>667</v>
      </c>
      <c r="C56" s="188">
        <v>8882</v>
      </c>
      <c r="D56" s="188"/>
      <c r="E56" s="127">
        <f t="shared" ref="E56:E97" si="1">C56-D56</f>
        <v>8882</v>
      </c>
      <c r="F56" s="187"/>
    </row>
    <row r="57" spans="1:6">
      <c r="A57" s="351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51" t="s">
        <v>669</v>
      </c>
      <c r="B58" s="126" t="s">
        <v>670</v>
      </c>
      <c r="C58" s="129">
        <f>C59+C61</f>
        <v>34797</v>
      </c>
      <c r="D58" s="129">
        <f>D59+D61</f>
        <v>0</v>
      </c>
      <c r="E58" s="127">
        <f t="shared" si="1"/>
        <v>34797</v>
      </c>
      <c r="F58" s="379">
        <f>F59+F61</f>
        <v>55437</v>
      </c>
    </row>
    <row r="59" spans="1:6">
      <c r="A59" s="351" t="s">
        <v>671</v>
      </c>
      <c r="B59" s="126" t="s">
        <v>672</v>
      </c>
      <c r="C59" s="188">
        <v>34797</v>
      </c>
      <c r="D59" s="188"/>
      <c r="E59" s="127">
        <f t="shared" si="1"/>
        <v>34797</v>
      </c>
      <c r="F59" s="187">
        <v>55437</v>
      </c>
    </row>
    <row r="60" spans="1:6">
      <c r="A60" s="38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1" t="s">
        <v>682</v>
      </c>
      <c r="B66" s="126" t="s">
        <v>683</v>
      </c>
      <c r="C66" s="188">
        <v>72986</v>
      </c>
      <c r="D66" s="188"/>
      <c r="E66" s="127">
        <f t="shared" si="1"/>
        <v>72986</v>
      </c>
      <c r="F66" s="187"/>
    </row>
    <row r="67" spans="1:6">
      <c r="A67" s="351" t="s">
        <v>684</v>
      </c>
      <c r="B67" s="126" t="s">
        <v>685</v>
      </c>
      <c r="C67" s="188">
        <v>45250</v>
      </c>
      <c r="D67" s="188"/>
      <c r="E67" s="127">
        <f t="shared" si="1"/>
        <v>45250</v>
      </c>
      <c r="F67" s="187"/>
    </row>
    <row r="68" spans="1:6" ht="16.5" thickBot="1">
      <c r="A68" s="365" t="s">
        <v>686</v>
      </c>
      <c r="B68" s="366" t="s">
        <v>687</v>
      </c>
      <c r="C68" s="416">
        <f>C54+C58+C63+C64+C65+C66</f>
        <v>116665</v>
      </c>
      <c r="D68" s="416">
        <f>D54+D58+D63+D64+D65+D66</f>
        <v>0</v>
      </c>
      <c r="E68" s="417">
        <f t="shared" si="1"/>
        <v>116665</v>
      </c>
      <c r="F68" s="418">
        <f>F54+F58+F63+F64+F65+F66</f>
        <v>55437</v>
      </c>
    </row>
    <row r="69" spans="1:6">
      <c r="A69" s="360" t="s">
        <v>688</v>
      </c>
      <c r="B69" s="120"/>
      <c r="C69" s="383"/>
      <c r="D69" s="383"/>
      <c r="E69" s="384"/>
      <c r="F69" s="385"/>
    </row>
    <row r="70" spans="1:6">
      <c r="A70" s="351" t="s">
        <v>689</v>
      </c>
      <c r="B70" s="134" t="s">
        <v>690</v>
      </c>
      <c r="C70" s="188">
        <v>7746</v>
      </c>
      <c r="D70" s="188"/>
      <c r="E70" s="127">
        <f t="shared" si="1"/>
        <v>7746</v>
      </c>
      <c r="F70" s="187"/>
    </row>
    <row r="71" spans="1:6" ht="16.5" thickBot="1">
      <c r="A71" s="389"/>
      <c r="B71" s="117"/>
      <c r="C71" s="390"/>
      <c r="D71" s="390"/>
      <c r="E71" s="391"/>
      <c r="F71" s="392"/>
    </row>
    <row r="72" spans="1:6">
      <c r="A72" s="354" t="s">
        <v>691</v>
      </c>
      <c r="B72" s="386"/>
      <c r="C72" s="395"/>
      <c r="D72" s="395"/>
      <c r="E72" s="396"/>
      <c r="F72" s="397"/>
    </row>
    <row r="73" spans="1:6">
      <c r="A73" s="351" t="s">
        <v>662</v>
      </c>
      <c r="B73" s="126" t="s">
        <v>692</v>
      </c>
      <c r="C73" s="128">
        <f>SUM(C74:C76)</f>
        <v>2610</v>
      </c>
      <c r="D73" s="128">
        <f>SUM(D74:D76)</f>
        <v>2610</v>
      </c>
      <c r="E73" s="128">
        <f>SUM(E74:E76)</f>
        <v>0</v>
      </c>
      <c r="F73" s="381">
        <f>SUM(F74:F76)</f>
        <v>0</v>
      </c>
    </row>
    <row r="74" spans="1:6">
      <c r="A74" s="351" t="s">
        <v>693</v>
      </c>
      <c r="B74" s="126" t="s">
        <v>694</v>
      </c>
      <c r="C74" s="188">
        <v>2610</v>
      </c>
      <c r="D74" s="188">
        <v>2610</v>
      </c>
      <c r="E74" s="127">
        <f t="shared" si="1"/>
        <v>0</v>
      </c>
      <c r="F74" s="187"/>
    </row>
    <row r="75" spans="1:6">
      <c r="A75" s="351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82" t="s">
        <v>697</v>
      </c>
      <c r="B76" s="126" t="s">
        <v>698</v>
      </c>
      <c r="C76" s="188"/>
      <c r="D76" s="188"/>
      <c r="E76" s="127">
        <f t="shared" si="1"/>
        <v>0</v>
      </c>
      <c r="F76" s="187"/>
    </row>
    <row r="77" spans="1:6" ht="31.5">
      <c r="A77" s="351" t="s">
        <v>669</v>
      </c>
      <c r="B77" s="126" t="s">
        <v>699</v>
      </c>
      <c r="C77" s="129">
        <f>C78+C80</f>
        <v>187948</v>
      </c>
      <c r="D77" s="129">
        <f>D78+D80</f>
        <v>187948</v>
      </c>
      <c r="E77" s="129">
        <f>E78+E80</f>
        <v>0</v>
      </c>
      <c r="F77" s="379">
        <f>F78+F80</f>
        <v>286721</v>
      </c>
    </row>
    <row r="78" spans="1:6">
      <c r="A78" s="351" t="s">
        <v>700</v>
      </c>
      <c r="B78" s="126" t="s">
        <v>701</v>
      </c>
      <c r="C78" s="188">
        <v>187948</v>
      </c>
      <c r="D78" s="188">
        <v>187948</v>
      </c>
      <c r="E78" s="127">
        <f t="shared" si="1"/>
        <v>0</v>
      </c>
      <c r="F78" s="187">
        <f>342158-55437</f>
        <v>286721</v>
      </c>
    </row>
    <row r="79" spans="1:6">
      <c r="A79" s="35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1" t="s">
        <v>707</v>
      </c>
      <c r="B82" s="126" t="s">
        <v>708</v>
      </c>
      <c r="C82" s="129">
        <f>SUM(C83:C86)</f>
        <v>25690</v>
      </c>
      <c r="D82" s="129">
        <f>SUM(D83:D86)</f>
        <v>25690</v>
      </c>
      <c r="E82" s="129">
        <f>SUM(E83:E86)</f>
        <v>0</v>
      </c>
      <c r="F82" s="379">
        <f>SUM(F83:F86)</f>
        <v>0</v>
      </c>
    </row>
    <row r="83" spans="1:6">
      <c r="A83" s="35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51" t="s">
        <v>713</v>
      </c>
      <c r="B85" s="126" t="s">
        <v>714</v>
      </c>
      <c r="C85" s="188">
        <v>25690</v>
      </c>
      <c r="D85" s="188">
        <v>25690</v>
      </c>
      <c r="E85" s="127">
        <f t="shared" si="1"/>
        <v>0</v>
      </c>
      <c r="F85" s="187"/>
    </row>
    <row r="86" spans="1:6">
      <c r="A86" s="35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1" t="s">
        <v>717</v>
      </c>
      <c r="B87" s="126" t="s">
        <v>718</v>
      </c>
      <c r="C87" s="125">
        <f>SUM(C88:C92)+C96</f>
        <v>214917</v>
      </c>
      <c r="D87" s="125">
        <f>SUM(D88:D92)+D96</f>
        <v>214917</v>
      </c>
      <c r="E87" s="125">
        <f>SUM(E88:E92)+E96</f>
        <v>0</v>
      </c>
      <c r="F87" s="378">
        <f>SUM(F88:F92)+F96</f>
        <v>0</v>
      </c>
    </row>
    <row r="88" spans="1:6">
      <c r="A88" s="351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1" t="s">
        <v>721</v>
      </c>
      <c r="B89" s="126" t="s">
        <v>722</v>
      </c>
      <c r="C89" s="188">
        <v>187987</v>
      </c>
      <c r="D89" s="188">
        <v>187987</v>
      </c>
      <c r="E89" s="127">
        <f t="shared" si="1"/>
        <v>0</v>
      </c>
      <c r="F89" s="187"/>
    </row>
    <row r="90" spans="1:6">
      <c r="A90" s="351" t="s">
        <v>723</v>
      </c>
      <c r="B90" s="126" t="s">
        <v>724</v>
      </c>
      <c r="C90" s="188">
        <v>648</v>
      </c>
      <c r="D90" s="188">
        <v>648</v>
      </c>
      <c r="E90" s="127">
        <f t="shared" si="1"/>
        <v>0</v>
      </c>
      <c r="F90" s="187"/>
    </row>
    <row r="91" spans="1:6">
      <c r="A91" s="351" t="s">
        <v>725</v>
      </c>
      <c r="B91" s="126" t="s">
        <v>726</v>
      </c>
      <c r="C91" s="188">
        <v>15075</v>
      </c>
      <c r="D91" s="188">
        <v>15075</v>
      </c>
      <c r="E91" s="127">
        <f t="shared" si="1"/>
        <v>0</v>
      </c>
      <c r="F91" s="187"/>
    </row>
    <row r="92" spans="1:6">
      <c r="A92" s="351" t="s">
        <v>727</v>
      </c>
      <c r="B92" s="126" t="s">
        <v>728</v>
      </c>
      <c r="C92" s="129">
        <f>SUM(C93:C95)</f>
        <v>8006</v>
      </c>
      <c r="D92" s="129">
        <f>SUM(D93:D95)</f>
        <v>8006</v>
      </c>
      <c r="E92" s="129">
        <f>SUM(E93:E95)</f>
        <v>0</v>
      </c>
      <c r="F92" s="379">
        <f>SUM(F93:F95)</f>
        <v>0</v>
      </c>
    </row>
    <row r="93" spans="1:6">
      <c r="A93" s="351" t="s">
        <v>729</v>
      </c>
      <c r="B93" s="126" t="s">
        <v>730</v>
      </c>
      <c r="C93" s="188">
        <v>83</v>
      </c>
      <c r="D93" s="188">
        <v>83</v>
      </c>
      <c r="E93" s="127">
        <f t="shared" si="1"/>
        <v>0</v>
      </c>
      <c r="F93" s="187"/>
    </row>
    <row r="94" spans="1:6">
      <c r="A94" s="351" t="s">
        <v>637</v>
      </c>
      <c r="B94" s="126" t="s">
        <v>731</v>
      </c>
      <c r="C94" s="188">
        <v>6342</v>
      </c>
      <c r="D94" s="188">
        <v>6342</v>
      </c>
      <c r="E94" s="127">
        <f t="shared" si="1"/>
        <v>0</v>
      </c>
      <c r="F94" s="187"/>
    </row>
    <row r="95" spans="1:6">
      <c r="A95" s="351" t="s">
        <v>641</v>
      </c>
      <c r="B95" s="126" t="s">
        <v>732</v>
      </c>
      <c r="C95" s="188">
        <v>1581</v>
      </c>
      <c r="D95" s="188">
        <v>1581</v>
      </c>
      <c r="E95" s="127">
        <f t="shared" si="1"/>
        <v>0</v>
      </c>
      <c r="F95" s="187"/>
    </row>
    <row r="96" spans="1:6">
      <c r="A96" s="351" t="s">
        <v>733</v>
      </c>
      <c r="B96" s="126" t="s">
        <v>734</v>
      </c>
      <c r="C96" s="188">
        <v>3201</v>
      </c>
      <c r="D96" s="188">
        <v>3201</v>
      </c>
      <c r="E96" s="127">
        <f t="shared" si="1"/>
        <v>0</v>
      </c>
      <c r="F96" s="187"/>
    </row>
    <row r="97" spans="1:27">
      <c r="A97" s="351" t="s">
        <v>735</v>
      </c>
      <c r="B97" s="126" t="s">
        <v>736</v>
      </c>
      <c r="C97" s="188">
        <v>61232</v>
      </c>
      <c r="D97" s="188">
        <v>61232</v>
      </c>
      <c r="E97" s="127">
        <f t="shared" si="1"/>
        <v>0</v>
      </c>
      <c r="F97" s="187"/>
    </row>
    <row r="98" spans="1:27" ht="16.5" thickBot="1">
      <c r="A98" s="365" t="s">
        <v>737</v>
      </c>
      <c r="B98" s="366" t="s">
        <v>738</v>
      </c>
      <c r="C98" s="414">
        <f>C87+C82+C77+C73+C97</f>
        <v>492397</v>
      </c>
      <c r="D98" s="414">
        <f>D87+D82+D77+D73+D97</f>
        <v>492397</v>
      </c>
      <c r="E98" s="414">
        <f>E87+E82+E77+E73+E97</f>
        <v>0</v>
      </c>
      <c r="F98" s="415">
        <f>F87+F82+F77+F73+F97</f>
        <v>286721</v>
      </c>
    </row>
    <row r="99" spans="1:27" ht="16.5" thickBot="1">
      <c r="A99" s="393" t="s">
        <v>739</v>
      </c>
      <c r="B99" s="394" t="s">
        <v>740</v>
      </c>
      <c r="C99" s="408">
        <f>C98+C70+C68</f>
        <v>616808</v>
      </c>
      <c r="D99" s="408">
        <f>D98+D70+D68</f>
        <v>492397</v>
      </c>
      <c r="E99" s="408">
        <f>E98+E70+E68</f>
        <v>124411</v>
      </c>
      <c r="F99" s="409">
        <f>F98+F70+F68</f>
        <v>342158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44" t="s">
        <v>453</v>
      </c>
      <c r="B102" s="345" t="s">
        <v>454</v>
      </c>
      <c r="C102" s="376" t="s">
        <v>742</v>
      </c>
      <c r="D102" s="376" t="s">
        <v>743</v>
      </c>
      <c r="E102" s="376" t="s">
        <v>744</v>
      </c>
      <c r="F102" s="377" t="s">
        <v>745</v>
      </c>
    </row>
    <row r="103" spans="1:27" s="139" customFormat="1" ht="16.5" thickBot="1">
      <c r="A103" s="410" t="s">
        <v>17</v>
      </c>
      <c r="B103" s="411" t="s">
        <v>18</v>
      </c>
      <c r="C103" s="412">
        <v>1</v>
      </c>
      <c r="D103" s="412">
        <v>2</v>
      </c>
      <c r="E103" s="412">
        <v>3</v>
      </c>
      <c r="F103" s="413">
        <v>4</v>
      </c>
    </row>
    <row r="104" spans="1:27">
      <c r="A104" s="400" t="s">
        <v>746</v>
      </c>
      <c r="B104" s="401" t="s">
        <v>747</v>
      </c>
      <c r="C104" s="207"/>
      <c r="D104" s="207"/>
      <c r="E104" s="207"/>
      <c r="F104" s="402">
        <f>C104+D104-E104</f>
        <v>0</v>
      </c>
    </row>
    <row r="105" spans="1:27">
      <c r="A105" s="351" t="s">
        <v>748</v>
      </c>
      <c r="B105" s="126" t="s">
        <v>749</v>
      </c>
      <c r="C105" s="188"/>
      <c r="D105" s="188"/>
      <c r="E105" s="188"/>
      <c r="F105" s="398">
        <f>C105+D105-E105</f>
        <v>0</v>
      </c>
    </row>
    <row r="106" spans="1:27" ht="16.5" thickBot="1">
      <c r="A106" s="369" t="s">
        <v>750</v>
      </c>
      <c r="B106" s="403" t="s">
        <v>751</v>
      </c>
      <c r="C106" s="271">
        <v>1</v>
      </c>
      <c r="D106" s="271">
        <v>244</v>
      </c>
      <c r="E106" s="271"/>
      <c r="F106" s="404">
        <f>C106+D106-E106</f>
        <v>245</v>
      </c>
    </row>
    <row r="107" spans="1:27" ht="16.5" thickBot="1">
      <c r="A107" s="399" t="s">
        <v>752</v>
      </c>
      <c r="B107" s="405" t="s">
        <v>753</v>
      </c>
      <c r="C107" s="406">
        <f>SUM(C104:C106)</f>
        <v>1</v>
      </c>
      <c r="D107" s="406">
        <f>SUM(D104:D106)</f>
        <v>244</v>
      </c>
      <c r="E107" s="406">
        <f>SUM(E104:E106)</f>
        <v>0</v>
      </c>
      <c r="F107" s="407">
        <f>SUM(F104:F106)</f>
        <v>245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32" t="s">
        <v>817</v>
      </c>
      <c r="B109" s="732"/>
      <c r="C109" s="732"/>
      <c r="D109" s="732"/>
      <c r="E109" s="732"/>
      <c r="F109" s="732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49" t="s">
        <v>950</v>
      </c>
      <c r="B111" s="705">
        <f>pdeReportingDate</f>
        <v>44529</v>
      </c>
      <c r="C111" s="705"/>
      <c r="D111" s="705"/>
      <c r="E111" s="705"/>
      <c r="F111" s="705"/>
      <c r="G111" s="51"/>
      <c r="H111" s="51"/>
    </row>
    <row r="112" spans="1:27">
      <c r="A112" s="649"/>
      <c r="B112" s="671"/>
      <c r="C112" s="671"/>
      <c r="D112" s="671"/>
      <c r="E112" s="671"/>
      <c r="F112" s="671"/>
      <c r="G112" s="671"/>
      <c r="H112" s="671"/>
    </row>
    <row r="113" spans="1:8">
      <c r="A113" s="649"/>
      <c r="B113" s="705"/>
      <c r="C113" s="705"/>
      <c r="D113" s="705"/>
      <c r="E113" s="705"/>
      <c r="F113" s="705"/>
      <c r="G113" s="51"/>
      <c r="H113" s="51"/>
    </row>
    <row r="114" spans="1:8">
      <c r="A114" s="650" t="s">
        <v>8</v>
      </c>
      <c r="B114" s="706" t="str">
        <f>authorName</f>
        <v>Людмила Бонджова</v>
      </c>
      <c r="C114" s="706"/>
      <c r="D114" s="706"/>
      <c r="E114" s="706"/>
      <c r="F114" s="706"/>
      <c r="G114" s="75"/>
      <c r="H114" s="75"/>
    </row>
    <row r="115" spans="1:8">
      <c r="A115" s="650"/>
      <c r="B115" s="658"/>
      <c r="C115" s="658"/>
      <c r="D115" s="658"/>
      <c r="E115" s="658"/>
      <c r="F115" s="658"/>
      <c r="G115" s="658"/>
      <c r="H115" s="658"/>
    </row>
    <row r="116" spans="1:8">
      <c r="A116" s="650"/>
      <c r="B116" s="706"/>
      <c r="C116" s="706"/>
      <c r="D116" s="706"/>
      <c r="E116" s="706"/>
      <c r="F116" s="706"/>
      <c r="G116" s="75"/>
      <c r="H116" s="75"/>
    </row>
    <row r="117" spans="1:8">
      <c r="A117" s="650" t="s">
        <v>894</v>
      </c>
      <c r="B117" s="707"/>
      <c r="C117" s="707"/>
      <c r="D117" s="707"/>
      <c r="E117" s="707"/>
      <c r="F117" s="707"/>
      <c r="G117" s="77"/>
      <c r="H117" s="77"/>
    </row>
    <row r="118" spans="1:8" ht="15.75" customHeight="1">
      <c r="A118" s="651"/>
      <c r="B118" s="708" t="str">
        <f>+Начална!B17</f>
        <v>Огнян Донев</v>
      </c>
      <c r="C118" s="704"/>
      <c r="D118" s="704"/>
      <c r="E118" s="704"/>
      <c r="F118" s="704"/>
      <c r="G118" s="651"/>
      <c r="H118" s="651"/>
    </row>
    <row r="119" spans="1:8" ht="15.75" customHeight="1">
      <c r="A119" s="651"/>
      <c r="B119" s="704"/>
      <c r="C119" s="704"/>
      <c r="D119" s="704"/>
      <c r="E119" s="704"/>
      <c r="F119" s="704"/>
      <c r="G119" s="651"/>
      <c r="H119" s="651"/>
    </row>
    <row r="120" spans="1:8" ht="15.75" customHeight="1">
      <c r="A120" s="651"/>
      <c r="B120" s="704"/>
      <c r="C120" s="704"/>
      <c r="D120" s="704"/>
      <c r="E120" s="704"/>
      <c r="F120" s="704"/>
      <c r="G120" s="651"/>
      <c r="H120" s="651"/>
    </row>
    <row r="121" spans="1:8" ht="15.75" customHeight="1">
      <c r="A121" s="651"/>
      <c r="B121" s="704"/>
      <c r="C121" s="704"/>
      <c r="D121" s="704"/>
      <c r="E121" s="704"/>
      <c r="F121" s="704"/>
      <c r="G121" s="651"/>
      <c r="H121" s="651"/>
    </row>
    <row r="122" spans="1:8">
      <c r="A122" s="651"/>
      <c r="B122" s="704"/>
      <c r="C122" s="704"/>
      <c r="D122" s="704"/>
      <c r="E122" s="704"/>
      <c r="F122" s="704"/>
      <c r="G122" s="651"/>
      <c r="H122" s="651"/>
    </row>
    <row r="123" spans="1:8">
      <c r="A123" s="651"/>
      <c r="B123" s="704"/>
      <c r="C123" s="704"/>
      <c r="D123" s="704"/>
      <c r="E123" s="704"/>
      <c r="F123" s="704"/>
      <c r="G123" s="651"/>
      <c r="H123" s="651"/>
    </row>
    <row r="124" spans="1:8">
      <c r="A124" s="651"/>
      <c r="B124" s="704"/>
      <c r="C124" s="704"/>
      <c r="D124" s="704"/>
      <c r="E124" s="704"/>
      <c r="F124" s="704"/>
      <c r="G124" s="651"/>
      <c r="H124" s="651"/>
    </row>
  </sheetData>
  <sheetProtection password="D554" sheet="1" objects="1" scenarios="1" insertRows="0"/>
  <customSheetViews>
    <customSheetView guid="{DE3D9EAF-1767-451E-80FE-3028500A9C7F}" scale="90" fitToPage="1"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1"/>
      <headerFooter alignWithMargins="0"/>
    </customSheetView>
    <customSheetView guid="{17A0B690-90B4-478F-B629-540D801E18FD}" scale="80" fitToPage="1" topLeftCell="B44">
      <selection activeCell="F79" sqref="F79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2"/>
      <headerFooter alignWithMargins="0"/>
    </customSheetView>
    <customSheetView guid="{07871067-5294-4FEE-88CE-4A4A5BC97EF0}" scale="80" fitToPage="1" topLeftCell="A20">
      <selection activeCell="C30" sqref="C30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3"/>
      <headerFooter alignWithMargins="0"/>
    </customSheetView>
    <customSheetView guid="{F2D4D9F9-DE61-45A3-92A2-4E78F2B34B7F}" scale="80" showPageBreaks="1" fitToPage="1" topLeftCell="A20">
      <selection activeCell="C30" sqref="C30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4"/>
      <headerFooter alignWithMargins="0"/>
    </customSheetView>
  </customSheetViews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5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6"/>
  <sheetViews>
    <sheetView zoomScale="80" zoomScaleNormal="8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9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5" t="s">
        <v>453</v>
      </c>
      <c r="B8" s="747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04" t="s">
        <v>760</v>
      </c>
      <c r="H9" s="104"/>
      <c r="I9" s="750" t="s">
        <v>818</v>
      </c>
    </row>
    <row r="10" spans="1:22" s="103" customFormat="1" ht="24" customHeight="1">
      <c r="A10" s="746"/>
      <c r="B10" s="748"/>
      <c r="C10" s="749"/>
      <c r="D10" s="749"/>
      <c r="E10" s="749"/>
      <c r="F10" s="749"/>
      <c r="G10" s="694" t="s">
        <v>516</v>
      </c>
      <c r="H10" s="694" t="s">
        <v>517</v>
      </c>
      <c r="I10" s="750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8970051</v>
      </c>
      <c r="D13" s="430"/>
      <c r="E13" s="430"/>
      <c r="F13" s="430">
        <v>89718</v>
      </c>
      <c r="G13" s="430">
        <v>365</v>
      </c>
      <c r="H13" s="430">
        <v>730</v>
      </c>
      <c r="I13" s="431">
        <f>F13+G13-H13</f>
        <v>89353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v>2777</v>
      </c>
      <c r="G17" s="430"/>
      <c r="H17" s="430"/>
      <c r="I17" s="431">
        <f t="shared" si="0"/>
        <v>2777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8970051</v>
      </c>
      <c r="D18" s="437">
        <f t="shared" si="1"/>
        <v>0</v>
      </c>
      <c r="E18" s="437">
        <f t="shared" si="1"/>
        <v>0</v>
      </c>
      <c r="F18" s="437">
        <f t="shared" si="1"/>
        <v>92495</v>
      </c>
      <c r="G18" s="437">
        <f t="shared" si="1"/>
        <v>365</v>
      </c>
      <c r="H18" s="437">
        <f t="shared" si="1"/>
        <v>730</v>
      </c>
      <c r="I18" s="438">
        <f t="shared" si="0"/>
        <v>92130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v>10111467</v>
      </c>
      <c r="D21" s="430"/>
      <c r="E21" s="430"/>
      <c r="F21" s="430">
        <v>37735</v>
      </c>
      <c r="G21" s="430"/>
      <c r="H21" s="430"/>
      <c r="I21" s="431">
        <f t="shared" si="0"/>
        <v>37735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10111467</v>
      </c>
      <c r="D27" s="437">
        <f t="shared" si="2"/>
        <v>0</v>
      </c>
      <c r="E27" s="437">
        <f t="shared" si="2"/>
        <v>0</v>
      </c>
      <c r="F27" s="437">
        <f t="shared" si="2"/>
        <v>37735</v>
      </c>
      <c r="G27" s="437">
        <f t="shared" si="2"/>
        <v>0</v>
      </c>
      <c r="H27" s="437">
        <f t="shared" si="2"/>
        <v>0</v>
      </c>
      <c r="I27" s="438">
        <f t="shared" si="0"/>
        <v>37735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1" t="s">
        <v>819</v>
      </c>
      <c r="B29" s="751"/>
      <c r="C29" s="751"/>
      <c r="D29" s="751"/>
      <c r="E29" s="751"/>
      <c r="F29" s="751"/>
      <c r="G29" s="751"/>
      <c r="H29" s="751"/>
      <c r="I29" s="751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44529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692"/>
      <c r="C32" s="692"/>
      <c r="D32" s="692"/>
      <c r="E32" s="692"/>
      <c r="F32" s="692"/>
      <c r="G32" s="115"/>
      <c r="H32" s="115"/>
      <c r="I32" s="115"/>
    </row>
    <row r="33" spans="1:9" s="107" customFormat="1">
      <c r="A33" s="649"/>
      <c r="B33" s="705"/>
      <c r="C33" s="705"/>
      <c r="D33" s="705"/>
      <c r="E33" s="705"/>
      <c r="F33" s="705"/>
      <c r="G33" s="115"/>
      <c r="H33" s="115"/>
      <c r="I33" s="115"/>
    </row>
    <row r="34" spans="1:9" s="107" customFormat="1">
      <c r="A34" s="650" t="s">
        <v>8</v>
      </c>
      <c r="B34" s="706" t="str">
        <f>authorName</f>
        <v>Людмила Бонджова</v>
      </c>
      <c r="C34" s="706"/>
      <c r="D34" s="706"/>
      <c r="E34" s="706"/>
      <c r="F34" s="706"/>
      <c r="G34" s="115"/>
      <c r="H34" s="115"/>
      <c r="I34" s="115"/>
    </row>
    <row r="35" spans="1:9" s="107" customFormat="1">
      <c r="A35" s="650"/>
      <c r="B35" s="693"/>
      <c r="C35" s="693"/>
      <c r="D35" s="693"/>
      <c r="E35" s="693"/>
      <c r="F35" s="693"/>
      <c r="G35" s="115"/>
      <c r="H35" s="115"/>
      <c r="I35" s="115"/>
    </row>
    <row r="36" spans="1:9" s="107" customFormat="1">
      <c r="A36" s="650"/>
      <c r="B36" s="744"/>
      <c r="C36" s="744"/>
      <c r="D36" s="744"/>
      <c r="E36" s="744"/>
      <c r="F36" s="744"/>
      <c r="G36" s="744"/>
      <c r="H36" s="744"/>
      <c r="I36" s="744"/>
    </row>
    <row r="37" spans="1:9" s="107" customFormat="1">
      <c r="A37" s="650" t="s">
        <v>894</v>
      </c>
      <c r="B37" s="743"/>
      <c r="C37" s="743"/>
      <c r="D37" s="743"/>
      <c r="E37" s="743"/>
      <c r="F37" s="743"/>
      <c r="G37" s="743"/>
      <c r="H37" s="743"/>
      <c r="I37" s="743"/>
    </row>
    <row r="38" spans="1:9" s="107" customFormat="1" ht="15.75" customHeight="1">
      <c r="A38" s="691"/>
      <c r="B38" s="708" t="str">
        <f>+Начална!B17</f>
        <v>Огнян Донев</v>
      </c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91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91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 ht="15.75" customHeight="1">
      <c r="A41" s="691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91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91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691"/>
      <c r="B44" s="704"/>
      <c r="C44" s="704"/>
      <c r="D44" s="704"/>
      <c r="E44" s="704"/>
      <c r="F44" s="704"/>
      <c r="G44" s="704"/>
      <c r="H44" s="704"/>
      <c r="I44" s="704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DE3D9EAF-1767-451E-80FE-3028500A9C7F}" scale="8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17A0B690-90B4-478F-B629-540D801E18FD}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07871067-5294-4FEE-88CE-4A4A5BC97EF0}" fitToPage="1" topLeftCell="B1">
      <selection activeCell="C13" sqref="C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F2D4D9F9-DE61-45A3-92A2-4E78F2B34B7F}" showPageBreaks="1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  <mergeCell ref="B43:I43"/>
    <mergeCell ref="B44:I44"/>
    <mergeCell ref="B37:I37"/>
    <mergeCell ref="B38:I38"/>
    <mergeCell ref="B39:I39"/>
    <mergeCell ref="B40:I40"/>
    <mergeCell ref="B41:I41"/>
    <mergeCell ref="B42:I42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6"/>
  <sheetViews>
    <sheetView zoomScale="90" zoomScaleNormal="9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5" t="s">
        <v>453</v>
      </c>
      <c r="B8" s="747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04" t="s">
        <v>760</v>
      </c>
      <c r="H9" s="104"/>
      <c r="I9" s="750" t="s">
        <v>818</v>
      </c>
    </row>
    <row r="10" spans="1:22" s="103" customFormat="1" ht="24" customHeight="1">
      <c r="A10" s="746"/>
      <c r="B10" s="748"/>
      <c r="C10" s="749"/>
      <c r="D10" s="749"/>
      <c r="E10" s="749"/>
      <c r="F10" s="749"/>
      <c r="G10" s="106" t="s">
        <v>516</v>
      </c>
      <c r="H10" s="106" t="s">
        <v>517</v>
      </c>
      <c r="I10" s="750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8968255</v>
      </c>
      <c r="D13" s="430"/>
      <c r="E13" s="430"/>
      <c r="F13" s="430">
        <v>89695</v>
      </c>
      <c r="G13" s="430">
        <v>363</v>
      </c>
      <c r="H13" s="430">
        <v>730</v>
      </c>
      <c r="I13" s="431">
        <f>F13+G13-H13</f>
        <v>89328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8968255</v>
      </c>
      <c r="D18" s="437">
        <f t="shared" si="1"/>
        <v>0</v>
      </c>
      <c r="E18" s="437">
        <f t="shared" si="1"/>
        <v>0</v>
      </c>
      <c r="F18" s="437">
        <f t="shared" si="1"/>
        <v>89695</v>
      </c>
      <c r="G18" s="437">
        <f t="shared" si="1"/>
        <v>363</v>
      </c>
      <c r="H18" s="437">
        <f t="shared" si="1"/>
        <v>730</v>
      </c>
      <c r="I18" s="438">
        <f t="shared" si="0"/>
        <v>89328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v>10111467</v>
      </c>
      <c r="D21" s="430"/>
      <c r="E21" s="430"/>
      <c r="F21" s="430">
        <v>37735</v>
      </c>
      <c r="G21" s="430"/>
      <c r="H21" s="430"/>
      <c r="I21" s="431">
        <f t="shared" si="0"/>
        <v>37735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10111467</v>
      </c>
      <c r="D27" s="437">
        <f t="shared" si="2"/>
        <v>0</v>
      </c>
      <c r="E27" s="437">
        <f t="shared" si="2"/>
        <v>0</v>
      </c>
      <c r="F27" s="437">
        <f t="shared" si="2"/>
        <v>37735</v>
      </c>
      <c r="G27" s="437">
        <f t="shared" si="2"/>
        <v>0</v>
      </c>
      <c r="H27" s="437">
        <f t="shared" si="2"/>
        <v>0</v>
      </c>
      <c r="I27" s="438">
        <f t="shared" si="0"/>
        <v>37735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1" t="s">
        <v>819</v>
      </c>
      <c r="B29" s="751"/>
      <c r="C29" s="751"/>
      <c r="D29" s="751"/>
      <c r="E29" s="751"/>
      <c r="F29" s="751"/>
      <c r="G29" s="751"/>
      <c r="H29" s="751"/>
      <c r="I29" s="751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44529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671"/>
      <c r="C32" s="671"/>
      <c r="D32" s="671"/>
      <c r="E32" s="671"/>
      <c r="F32" s="671"/>
      <c r="G32" s="115"/>
      <c r="H32" s="115"/>
      <c r="I32" s="115"/>
    </row>
    <row r="33" spans="1:9" s="107" customFormat="1">
      <c r="A33" s="649"/>
      <c r="B33" s="705"/>
      <c r="C33" s="705"/>
      <c r="D33" s="705"/>
      <c r="E33" s="705"/>
      <c r="F33" s="705"/>
      <c r="G33" s="115"/>
      <c r="H33" s="115"/>
      <c r="I33" s="115"/>
    </row>
    <row r="34" spans="1:9" s="107" customFormat="1">
      <c r="A34" s="650" t="s">
        <v>8</v>
      </c>
      <c r="B34" s="706" t="str">
        <f>authorName</f>
        <v>Людмила Бонджова</v>
      </c>
      <c r="C34" s="706"/>
      <c r="D34" s="706"/>
      <c r="E34" s="706"/>
      <c r="F34" s="706"/>
      <c r="G34" s="115"/>
      <c r="H34" s="115"/>
      <c r="I34" s="115"/>
    </row>
    <row r="35" spans="1:9" s="107" customFormat="1">
      <c r="A35" s="650"/>
      <c r="B35" s="658"/>
      <c r="C35" s="658"/>
      <c r="D35" s="658"/>
      <c r="E35" s="658"/>
      <c r="F35" s="658"/>
      <c r="G35" s="115"/>
      <c r="H35" s="115"/>
      <c r="I35" s="115"/>
    </row>
    <row r="36" spans="1:9" s="107" customFormat="1">
      <c r="A36" s="650"/>
      <c r="B36" s="744"/>
      <c r="C36" s="744"/>
      <c r="D36" s="744"/>
      <c r="E36" s="744"/>
      <c r="F36" s="744"/>
      <c r="G36" s="744"/>
      <c r="H36" s="744"/>
      <c r="I36" s="744"/>
    </row>
    <row r="37" spans="1:9" s="107" customFormat="1">
      <c r="A37" s="650" t="s">
        <v>894</v>
      </c>
      <c r="B37" s="743"/>
      <c r="C37" s="743"/>
      <c r="D37" s="743"/>
      <c r="E37" s="743"/>
      <c r="F37" s="743"/>
      <c r="G37" s="743"/>
      <c r="H37" s="743"/>
      <c r="I37" s="743"/>
    </row>
    <row r="38" spans="1:9" s="107" customFormat="1" ht="15.75" customHeight="1">
      <c r="A38" s="651"/>
      <c r="B38" s="708" t="str">
        <f>+Начална!B17</f>
        <v>Огнян Донев</v>
      </c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51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51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 ht="15.75" customHeight="1">
      <c r="A41" s="651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51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51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651"/>
      <c r="B44" s="704"/>
      <c r="C44" s="704"/>
      <c r="D44" s="704"/>
      <c r="E44" s="704"/>
      <c r="F44" s="704"/>
      <c r="G44" s="704"/>
      <c r="H44" s="704"/>
      <c r="I44" s="704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DE3D9EAF-1767-451E-80FE-3028500A9C7F}" scale="9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17A0B690-90B4-478F-B629-540D801E18FD}" scale="90" fitToPage="1" topLeftCell="B1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07871067-5294-4FEE-88CE-4A4A5BC97EF0}" scale="90" fitToPage="1" topLeftCell="B1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F2D4D9F9-DE61-45A3-92A2-4E78F2B34B7F}" scale="90" showPageBreaks="1" fitToPage="1" topLeftCell="B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  <mergeCell ref="B43:I43"/>
    <mergeCell ref="B44:I44"/>
    <mergeCell ref="B39:I39"/>
    <mergeCell ref="B40:I40"/>
    <mergeCell ref="B41:I41"/>
    <mergeCell ref="B42:I42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32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Беларус</vt:lpstr>
      <vt:lpstr>Справка 8.3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Investor Relations</cp:lastModifiedBy>
  <cp:lastPrinted>2021-11-25T14:49:22Z</cp:lastPrinted>
  <dcterms:created xsi:type="dcterms:W3CDTF">2006-09-16T00:00:00Z</dcterms:created>
  <dcterms:modified xsi:type="dcterms:W3CDTF">2021-11-26T13:28:34Z</dcterms:modified>
</cp:coreProperties>
</file>