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325" windowHeight="11415" tabRatio="79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<sst xmlns="http://schemas.openxmlformats.org/spreadsheetml/2006/main" count="1064" uniqueCount="879">
  <si>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</si>
  <si>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</si>
  <si>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</si>
  <si>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</si>
  <si>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</si>
  <si>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</si>
  <si>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</si>
  <si>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</si>
  <si>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</si>
  <si>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</si>
  <si>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</si>
  <si>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</si>
  <si>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</si>
  <si>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</si>
  <si>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</si>
  <si>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</si>
  <si>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</si>
  <si>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</si>
  <si>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</si>
  <si>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</si>
  <si>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</si>
  <si>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</si>
  <si>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</si>
  <si>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</si>
  <si>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</si>
  <si>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</si>
  <si>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</si>
  <si>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</si>
  <si>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</si>
  <si>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</si>
  <si>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</si>
  <si>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</si>
  <si>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</si>
  <si>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</si>
  <si>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</si>
  <si>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</si>
  <si>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</si>
  <si>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</si>
  <si>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</si>
  <si>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</si>
  <si>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</si>
  <si>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</si>
  <si>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</si>
  <si>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</si>
  <si>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</si>
  <si>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</si>
  <si>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</si>
  <si>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</si>
  <si>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</si>
  <si>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</si>
  <si>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</si>
  <si>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</si>
  <si>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</si>
  <si>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</si>
  <si>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</si>
  <si>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</si>
  <si>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</si>
  <si>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</si>
  <si>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</si>
  <si>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</si>
  <si>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</si>
  <si>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</si>
  <si>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</si>
  <si>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</si>
  <si>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</si>
  <si>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</si>
  <si>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</si>
  <si>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</si>
  <si>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</si>
  <si>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</si>
  <si>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</si>
  <si>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</si>
  <si>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</si>
  <si>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</si>
  <si>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</si>
  <si>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</si>
  <si>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</si>
  <si>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</si>
  <si>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</si>
  <si>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</si>
  <si>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</si>
  <si>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</si>
  <si>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</si>
  <si>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</si>
  <si>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</si>
  <si>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</si>
  <si>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</si>
  <si>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</si>
  <si>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</si>
  <si>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</si>
  <si>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</si>
  <si>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</si>
  <si>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</si>
  <si>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</si>
  <si>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</si>
  <si>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</si>
  <si>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</si>
  <si>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</si>
  <si>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</si>
  <si>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</si>
  <si>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</si>
  <si>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</si>
  <si>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</si>
  <si>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</si>
  <si>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</si>
  <si>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</si>
  <si>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</si>
  <si>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</si>
  <si>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</si>
  <si>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</si>
  <si>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</si>
  <si>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</si>
  <si>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</si>
  <si>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</si>
  <si>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</si>
  <si>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</si>
  <si>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</si>
  <si>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</si>
  <si>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</si>
  <si>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</si>
  <si>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</si>
  <si>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</si>
  <si>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</si>
  <si>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</si>
  <si>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</si>
  <si>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</si>
  <si>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</si>
  <si>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</si>
  <si>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</si>
  <si>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</si>
  <si>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</si>
  <si>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</si>
  <si>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</si>
  <si>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</si>
  <si>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</si>
  <si>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</si>
  <si>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</si>
  <si>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</si>
  <si>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</si>
  <si>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</si>
  <si>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</si>
  <si>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</si>
  <si>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</si>
  <si>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</si>
  <si>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</si>
  <si>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</si>
  <si>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</si>
  <si>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</si>
  <si>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</si>
  <si>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</si>
  <si>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</si>
  <si>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</si>
  <si>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</si>
  <si>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</si>
  <si>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</si>
  <si>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</si>
  <si>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</si>
  <si>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</si>
  <si>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</si>
  <si>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</si>
  <si>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</si>
  <si>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</si>
  <si>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</si>
  <si>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</si>
  <si>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</si>
  <si>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</si>
  <si>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</si>
  <si>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</si>
  <si>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</si>
  <si>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</si>
  <si>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</si>
  <si>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</si>
  <si>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</si>
  <si>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</si>
  <si>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</si>
  <si>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</si>
  <si>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</si>
  <si>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</si>
  <si>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</si>
  <si>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</si>
  <si>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</si>
  <si>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</si>
  <si>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</si>
  <si>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</si>
  <si>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</si>
  <si>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</si>
  <si>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</si>
  <si>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</si>
  <si>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</si>
  <si>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</si>
  <si>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</si>
  <si>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</si>
  <si>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</si>
  <si>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</si>
  <si>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</si>
  <si>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</si>
  <si>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</si>
  <si>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</si>
  <si>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</si>
  <si>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</si>
  <si>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</si>
  <si>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</si>
  <si>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</si>
  <si>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</si>
  <si>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</si>
  <si>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</si>
  <si>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</si>
  <si>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</si>
  <si>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</si>
  <si>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</si>
  <si>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</si>
  <si>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</si>
  <si>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</si>
  <si>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</si>
  <si>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</si>
  <si>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</si>
  <si>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</si>
  <si>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</si>
  <si>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</si>
  <si>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</si>
  <si>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</si>
  <si>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</si>
  <si>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</si>
  <si>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</si>
  <si>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</si>
  <si>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</si>
  <si>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</si>
  <si>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</si>
  <si>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</si>
  <si>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</si>
  <si>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</si>
  <si>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</si>
  <si>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</si>
  <si>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</si>
  <si>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</si>
  <si>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</si>
  <si>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</si>
  <si>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</si>
  <si>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</si>
  <si>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</si>
  <si>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</si>
  <si>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</si>
  <si>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</si>
  <si>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</si>
  <si>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</si>
  <si>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</si>
  <si>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</si>
  <si>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</si>
  <si>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</si>
  <si>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</si>
  <si>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</si>
  <si>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</si>
  <si>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</si>
  <si>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</si>
  <si>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</si>
  <si>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</si>
  <si>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</si>
  <si>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</si>
  <si>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</si>
  <si>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</si>
  <si>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</si>
  <si>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</si>
  <si>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</si>
  <si>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</si>
  <si>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</si>
  <si>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</si>
  <si>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</si>
  <si>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</si>
  <si>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</si>
  <si>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</si>
  <si>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</si>
  <si>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</si>
  <si>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</si>
  <si>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</si>
  <si>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</si>
  <si>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</si>
  <si>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</si>
  <si>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</si>
  <si>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</si>
  <si>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</si>
  <si>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</si>
  <si>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</si>
  <si>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</si>
  <si>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</si>
  <si>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</si>
  <si>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</si>
  <si>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</si>
  <si>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</si>
  <si>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</si>
  <si>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</si>
  <si>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</si>
  <si>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</si>
  <si>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</si>
  <si>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</si>
  <si>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</si>
  <si>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</si>
  <si>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</si>
  <si>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</si>
  <si>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</si>
  <si>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</si>
  <si>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</si>
  <si>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</si>
  <si>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</si>
  <si>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</si>
  <si>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</si>
  <si>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</si>
  <si>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</si>
  <si>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</si>
  <si>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</si>
  <si>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</si>
  <si>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</si>
  <si>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</si>
  <si>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</si>
  <si>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</si>
  <si>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</si>
  <si>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</si>
  <si>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</si>
  <si>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</si>
  <si>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</si>
  <si>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</si>
  <si>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</si>
  <si>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</si>
  <si>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</si>
  <si>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</si>
  <si>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</si>
  <si>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</si>
  <si>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</si>
  <si>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</si>
  <si>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</si>
  <si>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</si>
  <si>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</si>
  <si>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</si>
  <si>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</si>
  <si>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</si>
  <si>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</si>
  <si>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</si>
  <si>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</si>
  <si>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</si>
  <si>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</si>
  <si>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</si>
  <si>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</si>
  <si>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</si>
  <si>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</si>
  <si>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</si>
  <si>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</si>
  <si>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</si>
  <si>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</si>
  <si>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</si>
  <si>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</si>
  <si>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</si>
  <si>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</si>
  <si>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</si>
  <si>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</si>
  <si>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</si>
  <si>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</si>
  <si>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</si>
  <si>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</si>
  <si>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</si>
  <si>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</si>
  <si>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</si>
  <si>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</si>
  <si>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</si>
  <si>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</si>
  <si>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</si>
  <si>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</si>
  <si>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</si>
  <si>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</si>
  <si>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</si>
  <si>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</si>
  <si>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</si>
  <si>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</si>
  <si>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</si>
  <si>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</si>
  <si>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</si>
  <si>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</si>
  <si>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</si>
  <si>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</si>
  <si>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</si>
  <si>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</si>
  <si>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</si>
  <si>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</si>
  <si>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</si>
  <si>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</si>
  <si>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</si>
  <si>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</si>
  <si>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</si>
  <si>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</si>
  <si>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</si>
  <si>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</si>
  <si>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</si>
  <si>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</si>
  <si>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</si>
  <si>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</si>
  <si>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</si>
  <si>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</si>
  <si>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</si>
  <si>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</si>
  <si>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</si>
  <si>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</si>
  <si>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</si>
  <si>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</si>
  <si>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</si>
  <si>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</si>
  <si>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</si>
  <si>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</si>
  <si>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</si>
  <si>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</si>
  <si>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</si>
  <si>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</si>
  <si>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</si>
  <si>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</si>
  <si>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</si>
  <si>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</si>
  <si>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</si>
  <si>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</si>
  <si>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</si>
  <si>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</si>
  <si>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</si>
  <si>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</si>
  <si>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</si>
  <si>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</si>
  <si>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</si>
  <si>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</si>
  <si>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</si>
  <si>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</si>
  <si>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</si>
  <si>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</si>
  <si>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</si>
  <si>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</si>
  <si>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</si>
  <si>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</si>
  <si>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</si>
  <si>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</si>
  <si>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</si>
  <si>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</si>
  <si>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</si>
  <si>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</si>
  <si>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</si>
  <si>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</si>
  <si>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</si>
  <si>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</si>
  <si>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</si>
  <si>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</si>
  <si>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</si>
  <si>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</si>
  <si>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</si>
  <si>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</si>
  <si>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</si>
  <si>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</si>
  <si>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</si>
  <si>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</si>
  <si>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</si>
  <si>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</si>
  <si>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</si>
  <si>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</si>
  <si>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</si>
  <si>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</si>
  <si>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</si>
  <si>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</si>
  <si>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</si>
  <si>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</si>
  <si>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</si>
  <si>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</si>
  <si>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</si>
  <si>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</si>
  <si>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</si>
  <si>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</si>
  <si>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</si>
  <si>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</si>
  <si>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</si>
  <si>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</si>
  <si>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</si>
  <si>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</si>
  <si>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</si>
  <si>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</si>
  <si>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</si>
  <si>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</si>
  <si>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</si>
  <si>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</si>
  <si>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</si>
  <si>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</si>
  <si>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</si>
  <si>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</si>
  <si>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</si>
  <si>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</si>
  <si>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</si>
  <si>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</si>
  <si>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</si>
  <si>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</si>
  <si>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</si>
  <si>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</si>
  <si>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</si>
  <si>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</si>
  <si>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</si>
  <si>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</si>
  <si>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</si>
  <si>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</si>
  <si>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</si>
  <si>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</si>
  <si>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</si>
  <si>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</si>
  <si>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</si>
  <si>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</si>
  <si>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</si>
  <si>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</si>
  <si>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</si>
  <si>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</si>
  <si>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</si>
  <si>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</si>
  <si>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</si>
  <si>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</si>
  <si>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</si>
  <si>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</si>
  <si>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</si>
  <si>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</si>
  <si>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</si>
  <si>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</si>
  <si>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</si>
  <si>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</si>
  <si>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</si>
  <si>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</si>
  <si>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</si>
  <si>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</si>
  <si>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</si>
  <si>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</si>
  <si>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</si>
  <si>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</si>
  <si>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</si>
  <si>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</si>
  <si>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</si>
  <si>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</si>
  <si>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</si>
  <si>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</si>
  <si>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</si>
  <si>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</si>
  <si>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</si>
  <si>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</si>
  <si>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</si>
  <si>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</si>
  <si>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</si>
  <si>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</si>
  <si>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</si>
  <si>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</si>
  <si>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</si>
  <si>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</si>
  <si>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</si>
  <si>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</si>
  <si>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</si>
  <si>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</si>
  <si>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</si>
  <si>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</si>
  <si>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</si>
  <si>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</si>
  <si>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</si>
  <si>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</si>
  <si>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</si>
  <si>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</si>
  <si>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</si>
  <si>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</si>
  <si>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</si>
  <si>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</si>
  <si>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</si>
  <si>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</si>
  <si>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</si>
  <si>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</si>
  <si>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</si>
  <si>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</si>
  <si>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</si>
  <si>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</si>
  <si>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</si>
  <si>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</si>
  <si>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</si>
  <si>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</si>
  <si>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</si>
  <si>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</si>
  <si>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</si>
  <si>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</si>
  <si>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</si>
  <si>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</si>
  <si>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</si>
  <si>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</si>
  <si>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</si>
  <si>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</si>
  <si>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</si>
  <si>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</si>
  <si>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</si>
  <si>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</si>
  <si>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</si>
  <si>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</si>
  <si>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</si>
  <si>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</si>
  <si>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</si>
  <si>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</si>
  <si>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</si>
  <si>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</si>
  <si>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</si>
  <si>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</si>
  <si>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</si>
  <si>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</si>
  <si>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</si>
  <si>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</si>
  <si>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</si>
  <si>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</si>
  <si>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</si>
  <si>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</si>
  <si>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</si>
  <si>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</si>
  <si>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</si>
  <si>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</si>
  <si>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</si>
  <si>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</si>
  <si>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</si>
  <si>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</si>
  <si>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</si>
  <si>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</si>
  <si>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</si>
  <si>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</si>
  <si>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</si>
  <si>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</si>
  <si>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</si>
  <si>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</si>
  <si>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</si>
  <si>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</si>
  <si>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</si>
  <si>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</si>
  <si>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</si>
  <si>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</si>
  <si>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</si>
  <si>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</si>
  <si>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</si>
  <si>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</si>
  <si>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</si>
  <si>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</si>
  <si>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</si>
  <si>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</si>
  <si>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</si>
  <si>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</si>
  <si>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</si>
  <si>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</si>
  <si>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</si>
  <si>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</si>
  <si>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</si>
  <si>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</si>
  <si>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</si>
  <si>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</si>
  <si>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</si>
  <si>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</si>
  <si>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</si>
  <si>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</si>
  <si>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</si>
  <si>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</si>
  <si>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</si>
  <si>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</si>
  <si>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</si>
  <si>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</si>
  <si>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</si>
  <si>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</si>
  <si>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</si>
  <si>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</si>
  <si>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</si>
  <si>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</si>
  <si>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</si>
  <si>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</si>
  <si>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</si>
  <si>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</si>
  <si>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</si>
  <si>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</si>
  <si>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</si>
  <si>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</si>
  <si>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</si>
  <si>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</si>
  <si>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</si>
  <si>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</si>
  <si>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</si>
  <si>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</si>
  <si>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</si>
  <si>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</si>
  <si>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</si>
  <si>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</si>
  <si>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</si>
  <si>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</si>
  <si>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</si>
  <si>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</si>
  <si>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</si>
  <si>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</si>
  <si>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</si>
  <si>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</si>
  <si>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</si>
  <si>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</si>
  <si>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</si>
  <si>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</si>
  <si>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</si>
  <si>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</si>
  <si>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</si>
  <si>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</si>
  <si>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</si>
  <si>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</si>
  <si>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</si>
  <si>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</si>
  <si>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</si>
  <si>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</si>
  <si>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</si>
  <si>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</si>
  <si>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</si>
  <si>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</si>
  <si>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</si>
  <si>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</si>
  <si>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</si>
  <si>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</si>
  <si>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</si>
  <si>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</si>
  <si>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</si>
  <si>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</si>
  <si>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</si>
  <si>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</si>
  <si>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</si>
  <si>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</si>
  <si>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</si>
  <si>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</si>
  <si>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</si>
  <si>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</si>
  <si>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</si>
  <si>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</si>
  <si>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</si>
  <si>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</si>
  <si>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</si>
  <si>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</si>
  <si>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</si>
  <si>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</si>
  <si>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</si>
  <si>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</si>
  <si>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</si>
  <si>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</si>
  <si>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</si>
  <si>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</si>
  <si>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</si>
  <si>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</si>
  <si>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</si>
  <si>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</si>
  <si>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</si>
  <si>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</si>
  <si>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</si>
  <si>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</si>
  <si>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</si>
  <si>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</si>
  <si>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</si>
  <si>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</si>
  <si>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</si>
  <si>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</si>
  <si>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</si>
  <si>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</si>
  <si>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</si>
  <si>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</si>
  <si>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</si>
  <si>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</si>
  <si>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</si>
  <si>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</si>
  <si>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</si>
  <si>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</si>
  <si>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</si>
  <si>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</si>
  <si>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</si>
  <si>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</si>
  <si>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</si>
  <si>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</si>
  <si>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</si>
  <si>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</si>
  <si>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</si>
  <si>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</si>
  <si>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</si>
  <si>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</si>
  <si>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</si>
  <si>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</si>
  <si>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</si>
  <si>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</si>
  <si>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</si>
  <si>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</si>
  <si>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</si>
  <si>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</si>
  <si>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</si>
  <si>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</si>
  <si>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</si>
  <si>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</si>
  <si>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</si>
  <si>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</si>
  <si>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</si>
  <si>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</si>
  <si>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</si>
  <si>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</si>
  <si>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</si>
  <si>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</si>
  <si>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</si>
  <si>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</si>
  <si>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</si>
  <si>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</si>
  <si>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</si>
  <si>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</si>
  <si>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</si>
  <si>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</si>
  <si>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</si>
  <si>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</si>
  <si>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</si>
  <si>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</si>
  <si>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</si>
  <si>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</si>
  <si>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</si>
  <si>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</si>
  <si>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</si>
  <si>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</si>
  <si>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</si>
  <si>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</si>
  <si>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</si>
  <si>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</si>
  <si>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</si>
  <si>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</si>
  <si>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</si>
  <si>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</si>
  <si>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</si>
  <si>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</si>
  <si>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</si>
  <si>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</si>
  <si>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</si>
  <si>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</si>
  <si>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</si>
  <si>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</si>
  <si>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</si>
  <si>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</si>
  <si>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</si>
  <si>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</si>
  <si>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</si>
  <si>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</si>
  <si>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</si>
  <si>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</si>
  <si>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</si>
  <si>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</si>
  <si>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</si>
  <si>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</si>
  <si>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</si>
  <si>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</si>
  <si>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</si>
  <si>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</si>
  <si>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</si>
  <si>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</si>
  <si>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</si>
  <si>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</si>
  <si>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</si>
  <si>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</si>
  <si>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</si>
  <si>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</si>
  <si>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</si>
  <si>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</si>
  <si>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</si>
  <si>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</si>
  <si>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</si>
  <si>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</si>
  <si>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</si>
  <si>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</si>
  <si>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</si>
  <si>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</si>
  <si>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</si>
  <si>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</si>
  <si>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</si>
  <si>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</si>
  <si>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</si>
  <si>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</si>
  <si>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</si>
  <si>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</si>
  <si>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</si>
  <si>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</si>
  <si>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040428304</t>
  </si>
  <si>
    <t>Девин АД</t>
  </si>
  <si>
    <t>1. Атлантик дивайн ЕАД</t>
  </si>
  <si>
    <t>2. Девин Роял ЕАД</t>
  </si>
  <si>
    <t>1. Екопак България АД</t>
  </si>
  <si>
    <t>Съставител:…………… /Койчо Желев - Гл.счетодител/</t>
  </si>
  <si>
    <t>Ръководител:…………………. /Цветан Лъжански - Изп.директор/</t>
  </si>
  <si>
    <t>...................................... /Койчо Желев - Гл.счетоводител/</t>
  </si>
  <si>
    <t>....................................../Цветан Лъжански - изп.директор/</t>
  </si>
  <si>
    <t>Януари - Декември 2008 г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</si>
</sst>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9" fillId="0" borderId="1" xfId="27" applyFont="1" applyBorder="1" applyAlignment="1" applyProtection="1" quotePrefix="1">
      <alignment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Users\Devin\2007\12\DEV\v6\FO_97_DEV_122007_unconsolidated_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1">
        <row r="22">
          <cell r="D22">
            <v>435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49">
      <selection activeCell="C69" sqref="C6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870</v>
      </c>
      <c r="F3" s="217" t="s">
        <v>2</v>
      </c>
      <c r="G3" s="172"/>
      <c r="H3" s="575" t="s">
        <v>869</v>
      </c>
    </row>
    <row r="4" spans="1:8" ht="15">
      <c r="A4" s="582" t="s">
        <v>3</v>
      </c>
      <c r="B4" s="588"/>
      <c r="C4" s="588"/>
      <c r="D4" s="588"/>
      <c r="E4" s="504" t="s">
        <v>868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f>+'справка №5'!R9</f>
        <v>1382</v>
      </c>
      <c r="D11" s="151">
        <v>1082</v>
      </c>
      <c r="E11" s="237" t="s">
        <v>22</v>
      </c>
      <c r="F11" s="242" t="s">
        <v>23</v>
      </c>
      <c r="G11" s="152">
        <v>17891</v>
      </c>
      <c r="H11" s="152">
        <v>17891</v>
      </c>
    </row>
    <row r="12" spans="1:8" ht="15">
      <c r="A12" s="235" t="s">
        <v>24</v>
      </c>
      <c r="B12" s="241" t="s">
        <v>25</v>
      </c>
      <c r="C12" s="151">
        <f>+'справка №5'!R10</f>
        <v>3266</v>
      </c>
      <c r="D12" s="151">
        <v>2686</v>
      </c>
      <c r="E12" s="237" t="s">
        <v>26</v>
      </c>
      <c r="F12" s="242" t="s">
        <v>27</v>
      </c>
      <c r="G12" s="153">
        <v>17891</v>
      </c>
      <c r="H12" s="153">
        <v>17891</v>
      </c>
    </row>
    <row r="13" spans="1:8" ht="15">
      <c r="A13" s="235" t="s">
        <v>28</v>
      </c>
      <c r="B13" s="241" t="s">
        <v>29</v>
      </c>
      <c r="C13" s="151">
        <f>+'справка №5'!R11</f>
        <v>16132</v>
      </c>
      <c r="D13" s="151">
        <v>5599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f>+'справка №5'!R12</f>
        <v>959</v>
      </c>
      <c r="D14" s="151">
        <v>739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f>+'справка №5'!R13</f>
        <v>1768</v>
      </c>
      <c r="D15" s="151">
        <v>1066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+'справка №5'!R14</f>
        <v>310</v>
      </c>
      <c r="D16" s="151">
        <v>268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f>+'справка №5'!R15</f>
        <v>19</v>
      </c>
      <c r="D17" s="151">
        <v>38</v>
      </c>
      <c r="E17" s="243" t="s">
        <v>46</v>
      </c>
      <c r="F17" s="245" t="s">
        <v>47</v>
      </c>
      <c r="G17" s="154">
        <f>G11+G14+G15+G16</f>
        <v>17891</v>
      </c>
      <c r="H17" s="154">
        <f>H11+H14+H15+H16</f>
        <v>17891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f>+'справка №5'!R16</f>
        <v>4337</v>
      </c>
      <c r="D18" s="151">
        <v>3453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28173</v>
      </c>
      <c r="D19" s="155">
        <f>SUM(D11:D18)</f>
        <v>14931</v>
      </c>
      <c r="E19" s="237" t="s">
        <v>53</v>
      </c>
      <c r="F19" s="242" t="s">
        <v>54</v>
      </c>
      <c r="G19" s="152">
        <f>15309-5</f>
        <v>15304</v>
      </c>
      <c r="H19" s="152">
        <f>15309-5</f>
        <v>15304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f>7088-35695</f>
        <v>-28607</v>
      </c>
      <c r="H20" s="158">
        <f>7098-35695</f>
        <v>-28597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1125</v>
      </c>
      <c r="H21" s="156">
        <f>SUM(H22:H24)</f>
        <v>1125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</v>
      </c>
      <c r="H22" s="152">
        <v>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f>+'справка №5'!R22</f>
        <v>222</v>
      </c>
      <c r="D24" s="151">
        <v>16</v>
      </c>
      <c r="E24" s="237" t="s">
        <v>72</v>
      </c>
      <c r="F24" s="242" t="s">
        <v>73</v>
      </c>
      <c r="G24" s="152">
        <v>1120</v>
      </c>
      <c r="H24" s="152">
        <v>1120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-12178</v>
      </c>
      <c r="H25" s="154">
        <f>H19+H20+H21</f>
        <v>-12168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f>+'справка №5'!R24</f>
        <v>553</v>
      </c>
      <c r="D26" s="151">
        <v>589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775</v>
      </c>
      <c r="D27" s="155">
        <f>SUM(D23:D26)</f>
        <v>605</v>
      </c>
      <c r="E27" s="253" t="s">
        <v>83</v>
      </c>
      <c r="F27" s="242" t="s">
        <v>84</v>
      </c>
      <c r="G27" s="154">
        <f>SUM(G28:G30)</f>
        <v>3524</v>
      </c>
      <c r="H27" s="154">
        <f>SUM(H28:H30)</f>
        <v>397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f>H28+H31+11</f>
        <v>3984</v>
      </c>
      <c r="H28" s="152">
        <v>857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-460</v>
      </c>
      <c r="H29" s="316">
        <v>-460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1860</v>
      </c>
      <c r="H31" s="152">
        <v>3116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5384</v>
      </c>
      <c r="H33" s="154">
        <f>H27+H31+H32</f>
        <v>3513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620</v>
      </c>
      <c r="D34" s="155">
        <f>SUM(D35:D38)</f>
        <v>620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617</v>
      </c>
      <c r="D35" s="151">
        <v>617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3</v>
      </c>
      <c r="D36" s="151">
        <v>3</v>
      </c>
      <c r="E36" s="237" t="s">
        <v>110</v>
      </c>
      <c r="F36" s="261" t="s">
        <v>111</v>
      </c>
      <c r="G36" s="154">
        <f>G25+G17+G33</f>
        <v>11097</v>
      </c>
      <c r="H36" s="154">
        <f>H25+H17+H33</f>
        <v>9236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20884</v>
      </c>
      <c r="H44" s="152">
        <v>8873</v>
      </c>
    </row>
    <row r="45" spans="1:15" ht="15">
      <c r="A45" s="235" t="s">
        <v>136</v>
      </c>
      <c r="B45" s="249" t="s">
        <v>137</v>
      </c>
      <c r="C45" s="155">
        <f>C34+C39+C44</f>
        <v>620</v>
      </c>
      <c r="D45" s="155">
        <f>D34+D39+D44</f>
        <v>620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1310</v>
      </c>
      <c r="H48" s="152">
        <v>825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22194</v>
      </c>
      <c r="H49" s="154">
        <f>SUM(H43:H48)</f>
        <v>9698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66</v>
      </c>
      <c r="H51" s="152">
        <v>66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29568</v>
      </c>
      <c r="D55" s="155">
        <f>D19+D20+D21+D27+D32+D45+D51+D53+D54</f>
        <v>16156</v>
      </c>
      <c r="E55" s="237" t="s">
        <v>172</v>
      </c>
      <c r="F55" s="261" t="s">
        <v>173</v>
      </c>
      <c r="G55" s="154">
        <f>G49+G51+G52+G53+G54</f>
        <v>22260</v>
      </c>
      <c r="H55" s="154">
        <f>H49+H51+H52+H53+H54</f>
        <v>9764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2940</v>
      </c>
      <c r="D58" s="151">
        <v>1933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472</v>
      </c>
      <c r="D59" s="151">
        <v>377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3369</v>
      </c>
      <c r="D60" s="151">
        <v>2508</v>
      </c>
      <c r="E60" s="237" t="s">
        <v>185</v>
      </c>
      <c r="F60" s="242" t="s">
        <v>186</v>
      </c>
      <c r="G60" s="152">
        <f>4512+1</f>
        <v>4513</v>
      </c>
      <c r="H60" s="152">
        <v>3948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6583</v>
      </c>
      <c r="H61" s="154">
        <f>SUM(H62:H68)</f>
        <v>6946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670</v>
      </c>
      <c r="H62" s="152">
        <v>924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6781</v>
      </c>
      <c r="D64" s="155">
        <f>SUM(D58:D63)</f>
        <v>4818</v>
      </c>
      <c r="E64" s="237" t="s">
        <v>200</v>
      </c>
      <c r="F64" s="242" t="s">
        <v>201</v>
      </c>
      <c r="G64" s="152">
        <v>5019</v>
      </c>
      <c r="H64" s="152">
        <v>5598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341</v>
      </c>
      <c r="H66" s="152">
        <v>249</v>
      </c>
    </row>
    <row r="67" spans="1:8" ht="15">
      <c r="A67" s="235" t="s">
        <v>207</v>
      </c>
      <c r="B67" s="241" t="s">
        <v>208</v>
      </c>
      <c r="C67" s="151">
        <v>1875</v>
      </c>
      <c r="D67" s="151">
        <v>1798</v>
      </c>
      <c r="E67" s="237" t="s">
        <v>209</v>
      </c>
      <c r="F67" s="242" t="s">
        <v>210</v>
      </c>
      <c r="G67" s="152">
        <v>110</v>
      </c>
      <c r="H67" s="152">
        <v>82</v>
      </c>
    </row>
    <row r="68" spans="1:8" ht="15">
      <c r="A68" s="235" t="s">
        <v>211</v>
      </c>
      <c r="B68" s="241" t="s">
        <v>212</v>
      </c>
      <c r="C68" s="151">
        <f>4401-58+1156</f>
        <v>5499</v>
      </c>
      <c r="D68" s="151">
        <v>3367</v>
      </c>
      <c r="E68" s="237" t="s">
        <v>213</v>
      </c>
      <c r="F68" s="242" t="s">
        <v>214</v>
      </c>
      <c r="G68" s="152">
        <f>392+51</f>
        <v>443</v>
      </c>
      <c r="H68" s="152">
        <f>27+66</f>
        <v>93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6617-G68-G67-G66-G64-G76</f>
        <v>673</v>
      </c>
      <c r="H69" s="152">
        <f>364+146+17</f>
        <v>527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11769</v>
      </c>
      <c r="H71" s="161">
        <f>H59+H60+H61+H69+H70</f>
        <v>11421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321</v>
      </c>
      <c r="D74" s="151">
        <f>3541-D68</f>
        <v>174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7695</v>
      </c>
      <c r="D75" s="155">
        <f>SUM(D67:D74)</f>
        <v>5339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31</v>
      </c>
      <c r="H76" s="152">
        <v>31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11800</v>
      </c>
      <c r="H79" s="162">
        <f>H71+H74+H75+H76</f>
        <v>11452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29</v>
      </c>
      <c r="D87" s="151">
        <v>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718</v>
      </c>
      <c r="D88" s="151">
        <v>1129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747</v>
      </c>
      <c r="D91" s="155">
        <f>SUM(D87:D90)</f>
        <v>1138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366</v>
      </c>
      <c r="D92" s="151">
        <v>3001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15589</v>
      </c>
      <c r="D93" s="155">
        <f>D64+D75+D84+D91+D92</f>
        <v>14296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45157</v>
      </c>
      <c r="D94" s="164">
        <f>D93+D55</f>
        <v>30452</v>
      </c>
      <c r="E94" s="449" t="s">
        <v>270</v>
      </c>
      <c r="F94" s="289" t="s">
        <v>271</v>
      </c>
      <c r="G94" s="165">
        <f>G36+G39+G55+G79</f>
        <v>45157</v>
      </c>
      <c r="H94" s="165">
        <f>H36+H39+H55+H79</f>
        <v>30452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874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875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6">
      <selection activeCell="G44" sqref="G4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Девин АД</v>
      </c>
      <c r="C2" s="577"/>
      <c r="D2" s="577"/>
      <c r="E2" s="577"/>
      <c r="F2" s="579" t="s">
        <v>2</v>
      </c>
      <c r="G2" s="579"/>
      <c r="H2" s="526" t="str">
        <f>'справка №1-БАЛАНС'!H3</f>
        <v>040428304</v>
      </c>
    </row>
    <row r="3" spans="1:8" ht="15">
      <c r="A3" s="467" t="s">
        <v>274</v>
      </c>
      <c r="B3" s="577" t="str">
        <f>'справка №1-БАЛАНС'!E4</f>
        <v>неконсолидиран</v>
      </c>
      <c r="C3" s="577"/>
      <c r="D3" s="577"/>
      <c r="E3" s="57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Януари - Декември 2008 г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20143</v>
      </c>
      <c r="D9" s="46">
        <v>16724</v>
      </c>
      <c r="E9" s="298" t="s">
        <v>284</v>
      </c>
      <c r="F9" s="549" t="s">
        <v>285</v>
      </c>
      <c r="G9" s="550">
        <v>45130</v>
      </c>
      <c r="H9" s="550">
        <v>34525</v>
      </c>
    </row>
    <row r="10" spans="1:8" ht="12">
      <c r="A10" s="298" t="s">
        <v>286</v>
      </c>
      <c r="B10" s="299" t="s">
        <v>287</v>
      </c>
      <c r="C10" s="46">
        <v>14517</v>
      </c>
      <c r="D10" s="46">
        <v>9227</v>
      </c>
      <c r="E10" s="298" t="s">
        <v>288</v>
      </c>
      <c r="F10" s="549" t="s">
        <v>289</v>
      </c>
      <c r="G10" s="550">
        <v>17799</v>
      </c>
      <c r="H10" s="550">
        <v>17678</v>
      </c>
    </row>
    <row r="11" spans="1:8" ht="12">
      <c r="A11" s="298" t="s">
        <v>290</v>
      </c>
      <c r="B11" s="299" t="s">
        <v>291</v>
      </c>
      <c r="C11" s="46">
        <v>2525</v>
      </c>
      <c r="D11" s="46">
        <v>1550</v>
      </c>
      <c r="E11" s="300" t="s">
        <v>292</v>
      </c>
      <c r="F11" s="549" t="s">
        <v>293</v>
      </c>
      <c r="G11" s="550">
        <v>483</v>
      </c>
      <c r="H11" s="550">
        <v>10</v>
      </c>
    </row>
    <row r="12" spans="1:8" ht="12">
      <c r="A12" s="298" t="s">
        <v>294</v>
      </c>
      <c r="B12" s="299" t="s">
        <v>295</v>
      </c>
      <c r="C12" s="46">
        <v>5749</v>
      </c>
      <c r="D12" s="46">
        <v>4372</v>
      </c>
      <c r="E12" s="300" t="s">
        <v>78</v>
      </c>
      <c r="F12" s="549" t="s">
        <v>296</v>
      </c>
      <c r="G12" s="550">
        <v>438</v>
      </c>
      <c r="H12" s="550">
        <v>1617</v>
      </c>
    </row>
    <row r="13" spans="1:18" ht="12">
      <c r="A13" s="298" t="s">
        <v>297</v>
      </c>
      <c r="B13" s="299" t="s">
        <v>298</v>
      </c>
      <c r="C13" s="46">
        <v>950</v>
      </c>
      <c r="D13" s="46">
        <v>781</v>
      </c>
      <c r="E13" s="301" t="s">
        <v>51</v>
      </c>
      <c r="F13" s="551" t="s">
        <v>299</v>
      </c>
      <c r="G13" s="548">
        <f>SUM(G9:G12)</f>
        <v>63850</v>
      </c>
      <c r="H13" s="548">
        <f>SUM(H9:H12)</f>
        <v>53830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14653</v>
      </c>
      <c r="D14" s="46">
        <v>15231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-97</v>
      </c>
      <c r="D15" s="47">
        <v>-114</v>
      </c>
      <c r="E15" s="296" t="s">
        <v>304</v>
      </c>
      <c r="F15" s="554" t="s">
        <v>305</v>
      </c>
      <c r="G15" s="550">
        <v>15</v>
      </c>
      <c r="H15" s="550">
        <v>15</v>
      </c>
    </row>
    <row r="16" spans="1:8" ht="12">
      <c r="A16" s="298" t="s">
        <v>306</v>
      </c>
      <c r="B16" s="299" t="s">
        <v>307</v>
      </c>
      <c r="C16" s="47">
        <v>1812</v>
      </c>
      <c r="D16" s="47">
        <v>924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60252</v>
      </c>
      <c r="D19" s="49">
        <f>SUM(D9:D15)+D16</f>
        <v>48695</v>
      </c>
      <c r="E19" s="304" t="s">
        <v>316</v>
      </c>
      <c r="F19" s="552" t="s">
        <v>317</v>
      </c>
      <c r="G19" s="550">
        <v>11</v>
      </c>
      <c r="H19" s="550">
        <v>75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1584</v>
      </c>
      <c r="D22" s="46">
        <v>2062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11</v>
      </c>
      <c r="D24" s="46">
        <v>6</v>
      </c>
      <c r="E24" s="301" t="s">
        <v>103</v>
      </c>
      <c r="F24" s="554" t="s">
        <v>333</v>
      </c>
      <c r="G24" s="548">
        <f>SUM(G19:G23)</f>
        <v>11</v>
      </c>
      <c r="H24" s="548">
        <f>SUM(H19:H23)</f>
        <v>75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127</v>
      </c>
      <c r="D25" s="46">
        <v>45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1722</v>
      </c>
      <c r="D26" s="49">
        <f>SUM(D22:D25)</f>
        <v>2113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61974</v>
      </c>
      <c r="D28" s="50">
        <f>D26+D19</f>
        <v>50808</v>
      </c>
      <c r="E28" s="127" t="s">
        <v>338</v>
      </c>
      <c r="F28" s="554" t="s">
        <v>339</v>
      </c>
      <c r="G28" s="548">
        <f>G13+G15+G24</f>
        <v>63876</v>
      </c>
      <c r="H28" s="548">
        <f>H13+H15+H24</f>
        <v>53920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1902</v>
      </c>
      <c r="D30" s="50">
        <f>IF((H28-D28)&gt;0,H28-D28,0)</f>
        <v>3112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>
        <v>3</v>
      </c>
      <c r="E32" s="296" t="s">
        <v>348</v>
      </c>
      <c r="F32" s="552" t="s">
        <v>349</v>
      </c>
      <c r="G32" s="550"/>
      <c r="H32" s="550">
        <v>7</v>
      </c>
    </row>
    <row r="33" spans="1:18" ht="12">
      <c r="A33" s="128" t="s">
        <v>350</v>
      </c>
      <c r="B33" s="306" t="s">
        <v>351</v>
      </c>
      <c r="C33" s="49">
        <f>C28-C31+C32</f>
        <v>61974</v>
      </c>
      <c r="D33" s="49">
        <f>D28-D31+D32</f>
        <v>50811</v>
      </c>
      <c r="E33" s="127" t="s">
        <v>352</v>
      </c>
      <c r="F33" s="554" t="s">
        <v>353</v>
      </c>
      <c r="G33" s="53">
        <f>G32-G31+G28</f>
        <v>63876</v>
      </c>
      <c r="H33" s="53">
        <f>H32-H31+H28</f>
        <v>53927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1902</v>
      </c>
      <c r="D34" s="50">
        <f>IF((H33-D33)&gt;0,H33-D33,0)</f>
        <v>3116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42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42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1860</v>
      </c>
      <c r="D39" s="460">
        <f>+IF((H33-D33-D35)&gt;0,H33-D33-D35,0)</f>
        <v>3116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1860</v>
      </c>
      <c r="D41" s="52">
        <f>IF(H39=0,IF(D39-D40&gt;0,D39-D40+H40,0),IF(H39-H40&lt;0,H40-H39+D39,0))</f>
        <v>3116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63876</v>
      </c>
      <c r="D42" s="53">
        <f>D33+D35+D39</f>
        <v>53927</v>
      </c>
      <c r="E42" s="128" t="s">
        <v>379</v>
      </c>
      <c r="F42" s="129" t="s">
        <v>380</v>
      </c>
      <c r="G42" s="53">
        <f>G39+G33</f>
        <v>63876</v>
      </c>
      <c r="H42" s="53">
        <f>H39+H33</f>
        <v>53927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866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382</v>
      </c>
      <c r="D48" s="589" t="s">
        <v>876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0" t="s">
        <v>877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zoomScale="75" zoomScaleNormal="75" workbookViewId="0" topLeftCell="A7">
      <selection activeCell="C38" sqref="C3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Девин АД</v>
      </c>
      <c r="C4" s="541" t="s">
        <v>2</v>
      </c>
      <c r="D4" s="541" t="str">
        <f>'справка №1-БАЛАНС'!H3</f>
        <v>040428304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Януари - Декември 2008 г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68645</v>
      </c>
      <c r="D10" s="54">
        <v>59367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-52658</v>
      </c>
      <c r="D11" s="54">
        <v>-49442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6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-6549</v>
      </c>
      <c r="D13" s="54">
        <f>-4988+32</f>
        <v>-4956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-3661</v>
      </c>
      <c r="D14" s="54">
        <v>-3410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-36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11</v>
      </c>
      <c r="D16" s="54">
        <v>75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f>-219-48</f>
        <v>-267</v>
      </c>
      <c r="D17" s="54">
        <v>-102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f>-1043+343+36</f>
        <v>-664</v>
      </c>
      <c r="D19" s="54">
        <f>-1057+20-1</f>
        <v>-1038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4827</v>
      </c>
      <c r="D20" s="55">
        <f>SUM(D10:D19)</f>
        <v>494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-16334</v>
      </c>
      <c r="D22" s="54">
        <v>-1190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1063</v>
      </c>
      <c r="D23" s="54">
        <v>134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-15271</v>
      </c>
      <c r="D32" s="55">
        <f>SUM(D22:D31)</f>
        <v>-1056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19944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25990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f>-ROUND(12*106.667*1.95583,0)-10273</f>
        <v>-12776</v>
      </c>
      <c r="D37" s="54">
        <f>-18177-D38-D39-D17</f>
        <v>-16997</v>
      </c>
      <c r="E37" s="130"/>
      <c r="F37" s="130"/>
    </row>
    <row r="38" spans="1:6" ht="12">
      <c r="A38" s="332" t="s">
        <v>440</v>
      </c>
      <c r="B38" s="333" t="s">
        <v>441</v>
      </c>
      <c r="C38" s="54">
        <f>-16128-C37-C39-C17</f>
        <v>-1968</v>
      </c>
      <c r="D38" s="54">
        <v>-745</v>
      </c>
      <c r="E38" s="130"/>
      <c r="F38" s="130"/>
    </row>
    <row r="39" spans="1:6" ht="12">
      <c r="A39" s="332" t="s">
        <v>442</v>
      </c>
      <c r="B39" s="333" t="s">
        <v>443</v>
      </c>
      <c r="C39" s="54">
        <f>-ROUND(503.193*1.95583,0)-133</f>
        <v>-1117</v>
      </c>
      <c r="D39" s="54">
        <f>-'[1]справка №2-ОТЧЕТ ЗА ДОХОДИТЕ'!D22-D17</f>
        <v>-333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-76</v>
      </c>
      <c r="D41" s="54">
        <v>-232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10053</v>
      </c>
      <c r="D42" s="55">
        <f>SUM(D34:D41)</f>
        <v>1637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-391</v>
      </c>
      <c r="D43" s="55">
        <f>D42+D32+D20</f>
        <v>1075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1138</v>
      </c>
      <c r="D44" s="132">
        <v>63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747</v>
      </c>
      <c r="D45" s="55">
        <f>D44+D43</f>
        <v>1138</v>
      </c>
      <c r="E45" s="130"/>
      <c r="F45" s="130"/>
      <c r="G45" s="133"/>
      <c r="H45" s="133"/>
    </row>
    <row r="46" spans="1:8" ht="15">
      <c r="A46" s="332" t="s">
        <v>456</v>
      </c>
      <c r="B46" s="338" t="s">
        <v>457</v>
      </c>
      <c r="C46" s="151">
        <f>C45</f>
        <v>747</v>
      </c>
      <c r="D46" s="56">
        <f>D45</f>
        <v>1138</v>
      </c>
      <c r="E46" s="130"/>
      <c r="F46" s="130"/>
      <c r="G46" s="133"/>
      <c r="H46" s="133"/>
    </row>
    <row r="47" spans="1:8" ht="15">
      <c r="A47" s="332" t="s">
        <v>458</v>
      </c>
      <c r="B47" s="338" t="s">
        <v>459</v>
      </c>
      <c r="C47" s="151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5">
      <selection activeCell="E28" sqref="E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Девин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 t="str">
        <f>'справка №1-БАЛАНС'!H3</f>
        <v>040428304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Януари - Декември 2008 г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17891</v>
      </c>
      <c r="D11" s="58">
        <f>'справка №1-БАЛАНС'!H19</f>
        <v>15304</v>
      </c>
      <c r="E11" s="58">
        <f>'справка №1-БАЛАНС'!H20</f>
        <v>-28597</v>
      </c>
      <c r="F11" s="58">
        <f>'справка №1-БАЛАНС'!H22</f>
        <v>5</v>
      </c>
      <c r="G11" s="58">
        <f>'справка №1-БАЛАНС'!H23</f>
        <v>0</v>
      </c>
      <c r="H11" s="60">
        <v>1120</v>
      </c>
      <c r="I11" s="58">
        <f>'справка №1-БАЛАНС'!H28+'справка №1-БАЛАНС'!H31</f>
        <v>3973</v>
      </c>
      <c r="J11" s="58">
        <f>'справка №1-БАЛАНС'!H29+'справка №1-БАЛАНС'!H32</f>
        <v>-460</v>
      </c>
      <c r="K11" s="60"/>
      <c r="L11" s="344">
        <f>SUM(C11:K11)</f>
        <v>9236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17891</v>
      </c>
      <c r="D15" s="61">
        <f aca="true" t="shared" si="2" ref="D15:M15">D11+D12</f>
        <v>15304</v>
      </c>
      <c r="E15" s="61">
        <f t="shared" si="2"/>
        <v>-28597</v>
      </c>
      <c r="F15" s="61">
        <f t="shared" si="2"/>
        <v>5</v>
      </c>
      <c r="G15" s="61">
        <f t="shared" si="2"/>
        <v>0</v>
      </c>
      <c r="H15" s="61">
        <f t="shared" si="2"/>
        <v>1120</v>
      </c>
      <c r="I15" s="61">
        <f t="shared" si="2"/>
        <v>3973</v>
      </c>
      <c r="J15" s="61">
        <f t="shared" si="2"/>
        <v>-460</v>
      </c>
      <c r="K15" s="61">
        <f t="shared" si="2"/>
        <v>0</v>
      </c>
      <c r="L15" s="344">
        <f t="shared" si="1"/>
        <v>9236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1860</v>
      </c>
      <c r="J16" s="345">
        <f>+'справка №1-БАЛАНС'!G32</f>
        <v>0</v>
      </c>
      <c r="K16" s="60"/>
      <c r="L16" s="344">
        <f t="shared" si="1"/>
        <v>1860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-10</v>
      </c>
      <c r="F28" s="60"/>
      <c r="G28" s="60"/>
      <c r="H28" s="60"/>
      <c r="I28" s="60">
        <v>11</v>
      </c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17891</v>
      </c>
      <c r="D29" s="59">
        <f aca="true" t="shared" si="6" ref="D29:M29">D17+D20+D21+D24+D28+D27+D15+D16</f>
        <v>15304</v>
      </c>
      <c r="E29" s="59">
        <f t="shared" si="6"/>
        <v>-28607</v>
      </c>
      <c r="F29" s="59">
        <f t="shared" si="6"/>
        <v>5</v>
      </c>
      <c r="G29" s="59">
        <f t="shared" si="6"/>
        <v>0</v>
      </c>
      <c r="H29" s="59">
        <f t="shared" si="6"/>
        <v>1120</v>
      </c>
      <c r="I29" s="59">
        <f t="shared" si="6"/>
        <v>5844</v>
      </c>
      <c r="J29" s="59">
        <f t="shared" si="6"/>
        <v>-460</v>
      </c>
      <c r="K29" s="59">
        <f t="shared" si="6"/>
        <v>0</v>
      </c>
      <c r="L29" s="344">
        <f t="shared" si="1"/>
        <v>11097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17891</v>
      </c>
      <c r="D32" s="59">
        <f t="shared" si="7"/>
        <v>15304</v>
      </c>
      <c r="E32" s="59">
        <f t="shared" si="7"/>
        <v>-28607</v>
      </c>
      <c r="F32" s="59">
        <f t="shared" si="7"/>
        <v>5</v>
      </c>
      <c r="G32" s="59">
        <f t="shared" si="7"/>
        <v>0</v>
      </c>
      <c r="H32" s="59">
        <f t="shared" si="7"/>
        <v>1120</v>
      </c>
      <c r="I32" s="59">
        <f t="shared" si="7"/>
        <v>5844</v>
      </c>
      <c r="J32" s="59">
        <f t="shared" si="7"/>
        <v>-460</v>
      </c>
      <c r="K32" s="59">
        <f t="shared" si="7"/>
        <v>0</v>
      </c>
      <c r="L32" s="344">
        <f t="shared" si="1"/>
        <v>11097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862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2" sqref="E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Девин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040428304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Януари - Декември 2008 г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1199</v>
      </c>
      <c r="E9" s="189">
        <v>374</v>
      </c>
      <c r="F9" s="189">
        <v>0</v>
      </c>
      <c r="G9" s="74">
        <f>D9+E9-F9</f>
        <v>1573</v>
      </c>
      <c r="H9" s="65"/>
      <c r="I9" s="65"/>
      <c r="J9" s="74">
        <f>G9+H9-I9</f>
        <v>1573</v>
      </c>
      <c r="K9" s="65">
        <v>117</v>
      </c>
      <c r="L9" s="65">
        <v>74</v>
      </c>
      <c r="M9" s="65">
        <v>0</v>
      </c>
      <c r="N9" s="74">
        <f>K9+L9-M9</f>
        <v>191</v>
      </c>
      <c r="O9" s="65"/>
      <c r="P9" s="65"/>
      <c r="Q9" s="74">
        <f aca="true" t="shared" si="0" ref="Q9:Q15">N9+O9-P9</f>
        <v>191</v>
      </c>
      <c r="R9" s="74">
        <f aca="true" t="shared" si="1" ref="R9:R15">J9-Q9</f>
        <v>1382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2795</v>
      </c>
      <c r="E10" s="189">
        <v>660</v>
      </c>
      <c r="F10" s="189">
        <v>0</v>
      </c>
      <c r="G10" s="74">
        <f aca="true" t="shared" si="2" ref="G10:G39">D10+E10-F10</f>
        <v>3455</v>
      </c>
      <c r="H10" s="65"/>
      <c r="I10" s="65"/>
      <c r="J10" s="74">
        <f aca="true" t="shared" si="3" ref="J10:J39">G10+H10-I10</f>
        <v>3455</v>
      </c>
      <c r="K10" s="65">
        <v>109</v>
      </c>
      <c r="L10" s="65">
        <v>80</v>
      </c>
      <c r="M10" s="65">
        <v>0</v>
      </c>
      <c r="N10" s="74">
        <f aca="true" t="shared" si="4" ref="N10:N39">K10+L10-M10</f>
        <v>189</v>
      </c>
      <c r="O10" s="65"/>
      <c r="P10" s="65"/>
      <c r="Q10" s="74">
        <f t="shared" si="0"/>
        <v>189</v>
      </c>
      <c r="R10" s="74">
        <f t="shared" si="1"/>
        <v>3266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6919</v>
      </c>
      <c r="E11" s="189">
        <f>13554-1156</f>
        <v>12398</v>
      </c>
      <c r="F11" s="189">
        <v>719</v>
      </c>
      <c r="G11" s="74">
        <f t="shared" si="2"/>
        <v>18598</v>
      </c>
      <c r="H11" s="65"/>
      <c r="I11" s="65"/>
      <c r="J11" s="74">
        <f t="shared" si="3"/>
        <v>18598</v>
      </c>
      <c r="K11" s="65">
        <v>1320</v>
      </c>
      <c r="L11" s="65">
        <v>1200</v>
      </c>
      <c r="M11" s="65">
        <v>54</v>
      </c>
      <c r="N11" s="74">
        <f t="shared" si="4"/>
        <v>2466</v>
      </c>
      <c r="O11" s="65"/>
      <c r="P11" s="65"/>
      <c r="Q11" s="74">
        <f t="shared" si="0"/>
        <v>2466</v>
      </c>
      <c r="R11" s="74">
        <f t="shared" si="1"/>
        <v>16132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808</v>
      </c>
      <c r="E12" s="189">
        <v>268</v>
      </c>
      <c r="F12" s="189">
        <v>0</v>
      </c>
      <c r="G12" s="74">
        <f t="shared" si="2"/>
        <v>1076</v>
      </c>
      <c r="H12" s="65"/>
      <c r="I12" s="65"/>
      <c r="J12" s="74">
        <f t="shared" si="3"/>
        <v>1076</v>
      </c>
      <c r="K12" s="65">
        <v>69</v>
      </c>
      <c r="L12" s="65">
        <v>48</v>
      </c>
      <c r="M12" s="65">
        <v>0</v>
      </c>
      <c r="N12" s="74">
        <f t="shared" si="4"/>
        <v>117</v>
      </c>
      <c r="O12" s="65"/>
      <c r="P12" s="65"/>
      <c r="Q12" s="74">
        <f t="shared" si="0"/>
        <v>117</v>
      </c>
      <c r="R12" s="74">
        <f t="shared" si="1"/>
        <v>959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1183</v>
      </c>
      <c r="E13" s="189">
        <v>874</v>
      </c>
      <c r="F13" s="189">
        <v>74</v>
      </c>
      <c r="G13" s="74">
        <f t="shared" si="2"/>
        <v>1983</v>
      </c>
      <c r="H13" s="65"/>
      <c r="I13" s="65"/>
      <c r="J13" s="74">
        <f t="shared" si="3"/>
        <v>1983</v>
      </c>
      <c r="K13" s="65">
        <v>117</v>
      </c>
      <c r="L13" s="65">
        <v>110</v>
      </c>
      <c r="M13" s="65">
        <v>12</v>
      </c>
      <c r="N13" s="74">
        <f t="shared" si="4"/>
        <v>215</v>
      </c>
      <c r="O13" s="65"/>
      <c r="P13" s="65"/>
      <c r="Q13" s="74">
        <f t="shared" si="0"/>
        <v>215</v>
      </c>
      <c r="R13" s="74">
        <f t="shared" si="1"/>
        <v>1768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328</v>
      </c>
      <c r="E14" s="189">
        <v>99</v>
      </c>
      <c r="F14" s="189">
        <v>0</v>
      </c>
      <c r="G14" s="74">
        <f t="shared" si="2"/>
        <v>427</v>
      </c>
      <c r="H14" s="65"/>
      <c r="I14" s="65"/>
      <c r="J14" s="74">
        <f t="shared" si="3"/>
        <v>427</v>
      </c>
      <c r="K14" s="65">
        <v>60</v>
      </c>
      <c r="L14" s="65">
        <v>57</v>
      </c>
      <c r="M14" s="65">
        <v>0</v>
      </c>
      <c r="N14" s="74">
        <f t="shared" si="4"/>
        <v>117</v>
      </c>
      <c r="O14" s="65"/>
      <c r="P14" s="65"/>
      <c r="Q14" s="74">
        <f t="shared" si="0"/>
        <v>117</v>
      </c>
      <c r="R14" s="74">
        <f t="shared" si="1"/>
        <v>310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>
        <v>38</v>
      </c>
      <c r="E15" s="457">
        <v>0</v>
      </c>
      <c r="F15" s="457">
        <v>19</v>
      </c>
      <c r="G15" s="74">
        <f t="shared" si="2"/>
        <v>19</v>
      </c>
      <c r="H15" s="458"/>
      <c r="I15" s="458"/>
      <c r="J15" s="74">
        <f t="shared" si="3"/>
        <v>19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4464</v>
      </c>
      <c r="E16" s="189">
        <v>1787</v>
      </c>
      <c r="F16" s="189">
        <v>4</v>
      </c>
      <c r="G16" s="74">
        <f t="shared" si="2"/>
        <v>6247</v>
      </c>
      <c r="H16" s="65"/>
      <c r="I16" s="65"/>
      <c r="J16" s="74">
        <f t="shared" si="3"/>
        <v>6247</v>
      </c>
      <c r="K16" s="65">
        <v>1011</v>
      </c>
      <c r="L16" s="65">
        <v>900</v>
      </c>
      <c r="M16" s="65">
        <v>1</v>
      </c>
      <c r="N16" s="74">
        <f t="shared" si="4"/>
        <v>1910</v>
      </c>
      <c r="O16" s="65"/>
      <c r="P16" s="65"/>
      <c r="Q16" s="74">
        <f aca="true" t="shared" si="5" ref="Q16:Q25">N16+O16-P16</f>
        <v>1910</v>
      </c>
      <c r="R16" s="74">
        <f aca="true" t="shared" si="6" ref="R16:R25">J16-Q16</f>
        <v>4337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17734</v>
      </c>
      <c r="E17" s="194">
        <f>SUM(E9:E16)</f>
        <v>16460</v>
      </c>
      <c r="F17" s="194">
        <f>SUM(F9:F16)</f>
        <v>816</v>
      </c>
      <c r="G17" s="74">
        <f t="shared" si="2"/>
        <v>33378</v>
      </c>
      <c r="H17" s="75">
        <f>SUM(H9:H16)</f>
        <v>0</v>
      </c>
      <c r="I17" s="75">
        <f>SUM(I9:I16)</f>
        <v>0</v>
      </c>
      <c r="J17" s="74">
        <f t="shared" si="3"/>
        <v>33378</v>
      </c>
      <c r="K17" s="75">
        <f>SUM(K9:K16)</f>
        <v>2803</v>
      </c>
      <c r="L17" s="75">
        <f>SUM(L9:L16)</f>
        <v>2469</v>
      </c>
      <c r="M17" s="75">
        <f>SUM(M9:M16)</f>
        <v>67</v>
      </c>
      <c r="N17" s="74">
        <f t="shared" si="4"/>
        <v>5205</v>
      </c>
      <c r="O17" s="75">
        <f>SUM(O9:O16)</f>
        <v>0</v>
      </c>
      <c r="P17" s="75">
        <f>SUM(P9:P16)</f>
        <v>0</v>
      </c>
      <c r="Q17" s="74">
        <f t="shared" si="5"/>
        <v>5205</v>
      </c>
      <c r="R17" s="74">
        <f t="shared" si="6"/>
        <v>28173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19</v>
      </c>
      <c r="E22" s="189">
        <v>227</v>
      </c>
      <c r="F22" s="189">
        <v>0</v>
      </c>
      <c r="G22" s="74">
        <f t="shared" si="2"/>
        <v>246</v>
      </c>
      <c r="H22" s="65"/>
      <c r="I22" s="65"/>
      <c r="J22" s="74">
        <f t="shared" si="3"/>
        <v>246</v>
      </c>
      <c r="K22" s="65">
        <v>3</v>
      </c>
      <c r="L22" s="65">
        <v>21</v>
      </c>
      <c r="M22" s="65"/>
      <c r="N22" s="74">
        <f t="shared" si="4"/>
        <v>24</v>
      </c>
      <c r="O22" s="65"/>
      <c r="P22" s="65"/>
      <c r="Q22" s="74">
        <f t="shared" si="5"/>
        <v>24</v>
      </c>
      <c r="R22" s="74">
        <f t="shared" si="6"/>
        <v>222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655</v>
      </c>
      <c r="E24" s="189">
        <v>0</v>
      </c>
      <c r="F24" s="189">
        <v>0</v>
      </c>
      <c r="G24" s="74">
        <f t="shared" si="2"/>
        <v>655</v>
      </c>
      <c r="H24" s="65"/>
      <c r="I24" s="65"/>
      <c r="J24" s="74">
        <f t="shared" si="3"/>
        <v>655</v>
      </c>
      <c r="K24" s="65">
        <v>66</v>
      </c>
      <c r="L24" s="65">
        <v>36</v>
      </c>
      <c r="M24" s="65"/>
      <c r="N24" s="74">
        <f t="shared" si="4"/>
        <v>102</v>
      </c>
      <c r="O24" s="65"/>
      <c r="P24" s="65"/>
      <c r="Q24" s="74">
        <f t="shared" si="5"/>
        <v>102</v>
      </c>
      <c r="R24" s="74">
        <f t="shared" si="6"/>
        <v>553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674</v>
      </c>
      <c r="E25" s="190">
        <f aca="true" t="shared" si="7" ref="E25:P25">SUM(E21:E24)</f>
        <v>227</v>
      </c>
      <c r="F25" s="190">
        <f t="shared" si="7"/>
        <v>0</v>
      </c>
      <c r="G25" s="67">
        <f t="shared" si="2"/>
        <v>901</v>
      </c>
      <c r="H25" s="66">
        <f t="shared" si="7"/>
        <v>0</v>
      </c>
      <c r="I25" s="66">
        <f t="shared" si="7"/>
        <v>0</v>
      </c>
      <c r="J25" s="67">
        <f t="shared" si="3"/>
        <v>901</v>
      </c>
      <c r="K25" s="66">
        <f t="shared" si="7"/>
        <v>69</v>
      </c>
      <c r="L25" s="66">
        <f t="shared" si="7"/>
        <v>57</v>
      </c>
      <c r="M25" s="66">
        <f t="shared" si="7"/>
        <v>0</v>
      </c>
      <c r="N25" s="67">
        <f t="shared" si="4"/>
        <v>126</v>
      </c>
      <c r="O25" s="66">
        <f t="shared" si="7"/>
        <v>0</v>
      </c>
      <c r="P25" s="66">
        <f t="shared" si="7"/>
        <v>0</v>
      </c>
      <c r="Q25" s="67">
        <f t="shared" si="5"/>
        <v>126</v>
      </c>
      <c r="R25" s="67">
        <f t="shared" si="6"/>
        <v>775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620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620</v>
      </c>
      <c r="H27" s="70">
        <f t="shared" si="8"/>
        <v>0</v>
      </c>
      <c r="I27" s="70">
        <f t="shared" si="8"/>
        <v>0</v>
      </c>
      <c r="J27" s="71">
        <f t="shared" si="3"/>
        <v>620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620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617</v>
      </c>
      <c r="E28" s="189"/>
      <c r="F28" s="189"/>
      <c r="G28" s="74">
        <f t="shared" si="2"/>
        <v>617</v>
      </c>
      <c r="H28" s="65"/>
      <c r="I28" s="65"/>
      <c r="J28" s="74">
        <f t="shared" si="3"/>
        <v>617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617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3</v>
      </c>
      <c r="E29" s="189"/>
      <c r="F29" s="189"/>
      <c r="G29" s="74">
        <f t="shared" si="2"/>
        <v>3</v>
      </c>
      <c r="H29" s="72"/>
      <c r="I29" s="72"/>
      <c r="J29" s="74">
        <f t="shared" si="3"/>
        <v>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620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620</v>
      </c>
      <c r="H38" s="75">
        <f t="shared" si="12"/>
        <v>0</v>
      </c>
      <c r="I38" s="75">
        <f t="shared" si="12"/>
        <v>0</v>
      </c>
      <c r="J38" s="74">
        <f t="shared" si="3"/>
        <v>620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620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19028</v>
      </c>
      <c r="E40" s="438">
        <f>E17+E18+E19+E25+E38+E39</f>
        <v>16687</v>
      </c>
      <c r="F40" s="438">
        <f aca="true" t="shared" si="13" ref="F40:R40">F17+F18+F19+F25+F38+F39</f>
        <v>816</v>
      </c>
      <c r="G40" s="438">
        <f t="shared" si="13"/>
        <v>34899</v>
      </c>
      <c r="H40" s="438">
        <f t="shared" si="13"/>
        <v>0</v>
      </c>
      <c r="I40" s="438">
        <f t="shared" si="13"/>
        <v>0</v>
      </c>
      <c r="J40" s="438">
        <f t="shared" si="13"/>
        <v>34899</v>
      </c>
      <c r="K40" s="438">
        <f t="shared" si="13"/>
        <v>2872</v>
      </c>
      <c r="L40" s="438">
        <f t="shared" si="13"/>
        <v>2526</v>
      </c>
      <c r="M40" s="438">
        <f t="shared" si="13"/>
        <v>67</v>
      </c>
      <c r="N40" s="438">
        <f t="shared" si="13"/>
        <v>5331</v>
      </c>
      <c r="O40" s="438">
        <f t="shared" si="13"/>
        <v>0</v>
      </c>
      <c r="P40" s="438">
        <f t="shared" si="13"/>
        <v>0</v>
      </c>
      <c r="Q40" s="438">
        <f t="shared" si="13"/>
        <v>5331</v>
      </c>
      <c r="R40" s="438">
        <f t="shared" si="13"/>
        <v>29568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09"/>
      <c r="L44" s="609"/>
      <c r="M44" s="609"/>
      <c r="N44" s="609"/>
      <c r="O44" s="598" t="s">
        <v>784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">
      <selection activeCell="D110" sqref="D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611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Девин АД</v>
      </c>
      <c r="C3" s="621"/>
      <c r="D3" s="526" t="s">
        <v>2</v>
      </c>
      <c r="E3" s="107" t="str">
        <f>'справка №1-БАЛАНС'!H3</f>
        <v>040428304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Януари - Декември 2008 г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1875</v>
      </c>
      <c r="D24" s="119">
        <f>SUM(D25:D27)</f>
        <v>1875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>
        <f>'справка №1-БАЛАНС'!C67</f>
        <v>1875</v>
      </c>
      <c r="D26" s="108">
        <f>C26</f>
        <v>1875</v>
      </c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f>'справка №1-БАЛАНС'!C68</f>
        <v>5499</v>
      </c>
      <c r="D28" s="108">
        <f>C28</f>
        <v>5499</v>
      </c>
      <c r="E28" s="120">
        <f t="shared" si="0"/>
        <v>0</v>
      </c>
      <c r="F28" s="106"/>
    </row>
    <row r="29" spans="1:6" ht="12">
      <c r="A29" s="396" t="s">
        <v>652</v>
      </c>
      <c r="B29" s="397" t="s">
        <v>653</v>
      </c>
      <c r="C29" s="108"/>
      <c r="D29" s="108"/>
      <c r="E29" s="120">
        <f t="shared" si="0"/>
        <v>0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/>
      <c r="D35" s="108"/>
      <c r="E35" s="120">
        <f t="shared" si="0"/>
        <v>0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321</v>
      </c>
      <c r="D38" s="105">
        <f>SUM(D39:D42)</f>
        <v>321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>
        <v>4</v>
      </c>
      <c r="D40" s="108">
        <f>C40</f>
        <v>4</v>
      </c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>
        <f>'справка №1-БАЛАНС'!C74-C40</f>
        <v>317</v>
      </c>
      <c r="D42" s="108">
        <f>C42</f>
        <v>317</v>
      </c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7695</v>
      </c>
      <c r="D43" s="104">
        <f>D24+D28+D29+D31+D30+D32+D33+D38</f>
        <v>7695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7695</v>
      </c>
      <c r="D44" s="103">
        <f>D43+D21+D19+D9</f>
        <v>7695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20884</v>
      </c>
      <c r="D56" s="103">
        <f>D57+D59</f>
        <v>0</v>
      </c>
      <c r="E56" s="119">
        <f t="shared" si="1"/>
        <v>20884</v>
      </c>
      <c r="F56" s="103">
        <f>F57+F59</f>
        <v>20884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f>'справка №1-БАЛАНС'!G44</f>
        <v>20884</v>
      </c>
      <c r="D57" s="108"/>
      <c r="E57" s="119">
        <f t="shared" si="1"/>
        <v>20884</v>
      </c>
      <c r="F57" s="108">
        <f>C57</f>
        <v>20884</v>
      </c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>
        <f>'справка №1-БАЛАНС'!G48</f>
        <v>1310</v>
      </c>
      <c r="D64" s="108"/>
      <c r="E64" s="119">
        <f t="shared" si="1"/>
        <v>1310</v>
      </c>
      <c r="F64" s="110">
        <f>C64</f>
        <v>1310</v>
      </c>
    </row>
    <row r="65" spans="1:6" ht="12">
      <c r="A65" s="396" t="s">
        <v>711</v>
      </c>
      <c r="B65" s="397" t="s">
        <v>712</v>
      </c>
      <c r="C65" s="109">
        <f>C64</f>
        <v>1310</v>
      </c>
      <c r="D65" s="109"/>
      <c r="E65" s="119">
        <f t="shared" si="1"/>
        <v>1310</v>
      </c>
      <c r="F65" s="111">
        <f>C65</f>
        <v>1310</v>
      </c>
    </row>
    <row r="66" spans="1:16" ht="12">
      <c r="A66" s="398" t="s">
        <v>713</v>
      </c>
      <c r="B66" s="394" t="s">
        <v>714</v>
      </c>
      <c r="C66" s="103">
        <f>C52+C56+C61+C62+C63+C64</f>
        <v>22194</v>
      </c>
      <c r="D66" s="103">
        <f>D52+D56+D61+D62+D63+D64</f>
        <v>0</v>
      </c>
      <c r="E66" s="119">
        <f t="shared" si="1"/>
        <v>22194</v>
      </c>
      <c r="F66" s="103">
        <f>F52+F56+F61+F62+F63+F64</f>
        <v>22194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670</v>
      </c>
      <c r="D71" s="105">
        <f>SUM(D72:D74)</f>
        <v>670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f>'справка №1-БАЛАНС'!G62</f>
        <v>670</v>
      </c>
      <c r="D72" s="108">
        <f>C72</f>
        <v>670</v>
      </c>
      <c r="E72" s="119">
        <f t="shared" si="1"/>
        <v>0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4513</v>
      </c>
      <c r="D80" s="103">
        <f>SUM(D81:D84)</f>
        <v>4513</v>
      </c>
      <c r="E80" s="103">
        <f>SUM(E81:E84)</f>
        <v>0</v>
      </c>
      <c r="F80" s="103">
        <f>SUM(F81:F84)</f>
        <v>4512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>
        <f>'справка №1-БАЛАНС'!G60-C84</f>
        <v>4512</v>
      </c>
      <c r="D83" s="108">
        <f>C83</f>
        <v>4512</v>
      </c>
      <c r="E83" s="119">
        <f t="shared" si="1"/>
        <v>0</v>
      </c>
      <c r="F83" s="108">
        <f>C83</f>
        <v>4512</v>
      </c>
    </row>
    <row r="84" spans="1:6" ht="12">
      <c r="A84" s="396" t="s">
        <v>742</v>
      </c>
      <c r="B84" s="397" t="s">
        <v>743</v>
      </c>
      <c r="C84" s="108">
        <v>1</v>
      </c>
      <c r="D84" s="108">
        <v>1</v>
      </c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5913</v>
      </c>
      <c r="D85" s="104">
        <f>SUM(D86:D90)+D94</f>
        <v>5913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f>'справка №1-БАЛАНС'!G64</f>
        <v>5019</v>
      </c>
      <c r="D87" s="108">
        <f>C87</f>
        <v>5019</v>
      </c>
      <c r="E87" s="119">
        <f t="shared" si="1"/>
        <v>0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f>'справка №1-БАЛАНС'!G66</f>
        <v>341</v>
      </c>
      <c r="D89" s="108">
        <f>C89</f>
        <v>341</v>
      </c>
      <c r="E89" s="119">
        <f t="shared" si="1"/>
        <v>0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443</v>
      </c>
      <c r="D90" s="103">
        <f>SUM(D91:D93)</f>
        <v>443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>
        <v>6</v>
      </c>
      <c r="D91" s="108">
        <f>C91</f>
        <v>6</v>
      </c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391</v>
      </c>
      <c r="D92" s="108">
        <f>C92</f>
        <v>391</v>
      </c>
      <c r="E92" s="119">
        <f t="shared" si="1"/>
        <v>0</v>
      </c>
      <c r="F92" s="108"/>
    </row>
    <row r="93" spans="1:6" ht="12">
      <c r="A93" s="396" t="s">
        <v>668</v>
      </c>
      <c r="B93" s="397" t="s">
        <v>759</v>
      </c>
      <c r="C93" s="108">
        <v>46</v>
      </c>
      <c r="D93" s="108">
        <f>C93</f>
        <v>46</v>
      </c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f>+'справка №1-БАЛАНС'!G67</f>
        <v>110</v>
      </c>
      <c r="D94" s="108">
        <f>C94</f>
        <v>110</v>
      </c>
      <c r="E94" s="119">
        <f t="shared" si="1"/>
        <v>0</v>
      </c>
      <c r="F94" s="108"/>
    </row>
    <row r="95" spans="1:6" ht="12">
      <c r="A95" s="396" t="s">
        <v>762</v>
      </c>
      <c r="B95" s="397" t="s">
        <v>763</v>
      </c>
      <c r="C95" s="108">
        <f>'справка №1-БАЛАНС'!G69</f>
        <v>673</v>
      </c>
      <c r="D95" s="108">
        <f>C95</f>
        <v>673</v>
      </c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11769</v>
      </c>
      <c r="D96" s="104">
        <f>D85+D80+D75+D71+D95</f>
        <v>11769</v>
      </c>
      <c r="E96" s="104">
        <f>E85+E80+E75+E71+E95</f>
        <v>0</v>
      </c>
      <c r="F96" s="104">
        <f>F85+F80+F75+F71+F95</f>
        <v>4512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33963</v>
      </c>
      <c r="D97" s="104">
        <f>D96+D68+D66</f>
        <v>11769</v>
      </c>
      <c r="E97" s="104">
        <f>E96+E68+E66</f>
        <v>22194</v>
      </c>
      <c r="F97" s="104">
        <f>F96+F68+F66</f>
        <v>26706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782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783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784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D20" sqref="D2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Девин АД</v>
      </c>
      <c r="C4" s="622"/>
      <c r="D4" s="622"/>
      <c r="E4" s="622"/>
      <c r="F4" s="622"/>
      <c r="G4" s="628" t="s">
        <v>2</v>
      </c>
      <c r="H4" s="628"/>
      <c r="I4" s="500" t="str">
        <f>'справка №1-БАЛАНС'!H3</f>
        <v>040428304</v>
      </c>
    </row>
    <row r="5" spans="1:9" ht="15">
      <c r="A5" s="501" t="s">
        <v>5</v>
      </c>
      <c r="B5" s="623" t="str">
        <f>'справка №1-БАЛАНС'!E5</f>
        <v>Януари - Декември 2008 г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25"/>
      <c r="C30" s="625"/>
      <c r="D30" s="459" t="s">
        <v>822</v>
      </c>
      <c r="E30" s="624"/>
      <c r="F30" s="624"/>
      <c r="G30" s="624"/>
      <c r="H30" s="420" t="s">
        <v>784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7">
      <selection activeCell="A32" sqref="A3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Девин АД</v>
      </c>
      <c r="C5" s="629"/>
      <c r="D5" s="629"/>
      <c r="E5" s="570" t="s">
        <v>2</v>
      </c>
      <c r="F5" s="451" t="str">
        <f>'справка №1-БАЛАНС'!H3</f>
        <v>040428304</v>
      </c>
    </row>
    <row r="6" spans="1:13" ht="15" customHeight="1">
      <c r="A6" s="27" t="s">
        <v>825</v>
      </c>
      <c r="B6" s="630" t="str">
        <f>'справка №1-БАЛАНС'!E5</f>
        <v>Януари - Декември 2008 г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50</v>
      </c>
      <c r="D12" s="576">
        <v>100</v>
      </c>
      <c r="E12" s="441"/>
      <c r="F12" s="443">
        <f>C12-E12</f>
        <v>50</v>
      </c>
    </row>
    <row r="13" spans="1:6" ht="12.75">
      <c r="A13" s="36" t="s">
        <v>872</v>
      </c>
      <c r="B13" s="37"/>
      <c r="C13" s="441">
        <v>567</v>
      </c>
      <c r="D13" s="576">
        <v>100</v>
      </c>
      <c r="E13" s="441"/>
      <c r="F13" s="443">
        <f aca="true" t="shared" si="0" ref="F13:F26">C13-E13</f>
        <v>567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617</v>
      </c>
      <c r="D27" s="429"/>
      <c r="E27" s="429">
        <f>SUM(E12:E26)</f>
        <v>0</v>
      </c>
      <c r="F27" s="442">
        <f>SUM(F12:F26)</f>
        <v>617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873</v>
      </c>
      <c r="B29" s="40"/>
      <c r="C29" s="441">
        <v>3</v>
      </c>
      <c r="D29" s="576">
        <v>5.2</v>
      </c>
      <c r="E29" s="441"/>
      <c r="F29" s="443">
        <f>C29-E29</f>
        <v>3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3</v>
      </c>
      <c r="D44" s="429"/>
      <c r="E44" s="429">
        <f>SUM(E29:E43)</f>
        <v>0</v>
      </c>
      <c r="F44" s="442">
        <f>SUM(F29:F43)</f>
        <v>3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620</v>
      </c>
      <c r="D79" s="429"/>
      <c r="E79" s="429">
        <f>E78+E61+E44+E27</f>
        <v>0</v>
      </c>
      <c r="F79" s="442">
        <f>F78+F61+F44+F27</f>
        <v>620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 hidden="1">
      <c r="A80" s="34" t="s">
        <v>845</v>
      </c>
      <c r="B80" s="39"/>
      <c r="C80" s="429"/>
      <c r="D80" s="429"/>
      <c r="E80" s="429"/>
      <c r="F80" s="442"/>
    </row>
    <row r="81" spans="1:6" ht="14.25" customHeight="1" hidden="1">
      <c r="A81" s="36" t="s">
        <v>832</v>
      </c>
      <c r="B81" s="40"/>
      <c r="C81" s="429"/>
      <c r="D81" s="429"/>
      <c r="E81" s="429"/>
      <c r="F81" s="442"/>
    </row>
    <row r="82" spans="1:6" ht="12.75" hidden="1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 hidden="1">
      <c r="A98" s="36" t="s">
        <v>836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 hidden="1">
      <c r="A115" s="36" t="s">
        <v>838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 hidden="1">
      <c r="A132" s="36" t="s">
        <v>840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 hidden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1" t="s">
        <v>853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Nikolai Andreev</cp:lastModifiedBy>
  <cp:lastPrinted>2009-01-29T08:34:19Z</cp:lastPrinted>
  <dcterms:created xsi:type="dcterms:W3CDTF">2000-06-29T12:02:40Z</dcterms:created>
  <dcterms:modified xsi:type="dcterms:W3CDTF">2009-01-30T07:39:14Z</dcterms:modified>
  <cp:category/>
  <cp:version/>
  <cp:contentType/>
  <cp:contentStatus/>
</cp:coreProperties>
</file>