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<sst xmlns="http://schemas.openxmlformats.org/spreadsheetml/2006/main" count="1071" uniqueCount="889">
  <si>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</si>
  <si>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</si>
  <si>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</si>
  <si>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</si>
  <si>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</si>
  <si>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</si>
  <si>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</si>
  <si>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</si>
  <si>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</si>
  <si>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</si>
  <si>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</si>
  <si>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</si>
  <si>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</si>
  <si>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</si>
  <si>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</si>
  <si>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</si>
  <si>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</si>
  <si>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</si>
  <si>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</si>
  <si>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</si>
  <si>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</si>
  <si>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</si>
  <si>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</si>
  <si>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</si>
  <si>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</si>
  <si>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</si>
  <si>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</si>
  <si>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</si>
  <si>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</si>
  <si>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</si>
  <si>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</si>
  <si>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</si>
  <si>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</si>
  <si>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</si>
  <si>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</si>
  <si>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</si>
  <si>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</si>
  <si>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</si>
  <si>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</si>
  <si>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</si>
  <si>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</si>
  <si>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</si>
  <si>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</si>
  <si>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</si>
  <si>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</si>
  <si>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</si>
  <si>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</si>
  <si>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</si>
  <si>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</si>
  <si>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</si>
  <si>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</si>
  <si>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</si>
  <si>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</si>
  <si>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</si>
  <si>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</si>
  <si>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</si>
  <si>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</si>
  <si>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</si>
  <si>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</si>
  <si>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</si>
  <si>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</si>
  <si>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</si>
  <si>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</si>
  <si>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</si>
  <si>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</si>
  <si>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</si>
  <si>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</si>
  <si>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</si>
  <si>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</si>
  <si>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</si>
  <si>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</si>
  <si>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</si>
  <si>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</si>
  <si>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</si>
  <si>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</si>
  <si>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</si>
  <si>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</si>
  <si>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</si>
  <si>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</si>
  <si>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</si>
  <si>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</si>
  <si>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</si>
  <si>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</si>
  <si>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</si>
  <si>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</si>
  <si>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</si>
  <si>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</si>
  <si>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</si>
  <si>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</si>
  <si>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</si>
  <si>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</si>
  <si>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</si>
  <si>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</si>
  <si>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</si>
  <si>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</si>
  <si>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</si>
  <si>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</si>
  <si>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</si>
  <si>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</si>
  <si>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</si>
  <si>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</si>
  <si>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</si>
  <si>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</si>
  <si>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</si>
  <si>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</si>
  <si>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</si>
  <si>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</si>
  <si>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</si>
  <si>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</si>
  <si>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</si>
  <si>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</si>
  <si>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</si>
  <si>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</si>
  <si>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</si>
  <si>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</si>
  <si>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</si>
  <si>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</si>
  <si>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</si>
  <si>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</si>
  <si>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</si>
  <si>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</si>
  <si>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</si>
  <si>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</si>
  <si>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</si>
  <si>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</si>
  <si>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</si>
  <si>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</si>
  <si>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</si>
  <si>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</si>
  <si>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</si>
  <si>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</si>
  <si>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</si>
  <si>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</si>
  <si>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</si>
  <si>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</si>
  <si>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</si>
  <si>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</si>
  <si>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</si>
  <si>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</si>
  <si>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</si>
  <si>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</si>
  <si>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</si>
  <si>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</si>
  <si>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</si>
  <si>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</si>
  <si>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</si>
  <si>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</si>
  <si>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</si>
  <si>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</si>
  <si>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</si>
  <si>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</si>
  <si>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</si>
  <si>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</si>
  <si>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</si>
  <si>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</si>
  <si>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</si>
  <si>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</si>
  <si>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</si>
  <si>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</si>
  <si>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</si>
  <si>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</si>
  <si>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</si>
  <si>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</si>
  <si>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</si>
  <si>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</si>
  <si>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</si>
  <si>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</si>
  <si>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</si>
  <si>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</si>
  <si>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</si>
  <si>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</si>
  <si>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</si>
  <si>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</si>
  <si>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</si>
  <si>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</si>
  <si>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</si>
  <si>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</si>
  <si>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</si>
  <si>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</si>
  <si>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</si>
  <si>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</si>
  <si>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</si>
  <si>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</si>
  <si>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</si>
  <si>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</si>
  <si>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</si>
  <si>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</si>
  <si>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</si>
  <si>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</si>
  <si>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</si>
  <si>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</si>
  <si>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</si>
  <si>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</si>
  <si>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</si>
  <si>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</si>
  <si>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</si>
  <si>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</si>
  <si>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</si>
  <si>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</si>
  <si>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</si>
  <si>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</si>
  <si>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</si>
  <si>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</si>
  <si>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</si>
  <si>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</si>
  <si>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</si>
  <si>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</si>
  <si>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</si>
  <si>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</si>
  <si>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</si>
  <si>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</si>
  <si>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</si>
  <si>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</si>
  <si>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</si>
  <si>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</si>
  <si>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</si>
  <si>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</si>
  <si>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</si>
  <si>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</si>
  <si>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</si>
  <si>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</si>
  <si>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</si>
  <si>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</si>
  <si>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</si>
  <si>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</si>
  <si>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</si>
  <si>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</si>
  <si>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</si>
  <si>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</si>
  <si>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</si>
  <si>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</si>
  <si>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</si>
  <si>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</si>
  <si>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</si>
  <si>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</si>
  <si>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</si>
  <si>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</si>
  <si>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</si>
  <si>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</si>
  <si>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</si>
  <si>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</si>
  <si>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</si>
  <si>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</si>
  <si>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</si>
  <si>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</si>
  <si>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</si>
  <si>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</si>
  <si>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</si>
  <si>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</si>
  <si>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</si>
  <si>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</si>
  <si>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</si>
  <si>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</si>
  <si>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</si>
  <si>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</si>
  <si>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</si>
  <si>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</si>
  <si>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</si>
  <si>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</si>
  <si>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</si>
  <si>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</si>
  <si>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</si>
  <si>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</si>
  <si>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</si>
  <si>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</si>
  <si>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</si>
  <si>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</si>
  <si>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</si>
  <si>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</si>
  <si>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</si>
  <si>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</si>
  <si>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</si>
  <si>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</si>
  <si>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</si>
  <si>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</si>
  <si>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</si>
  <si>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</si>
  <si>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</si>
  <si>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</si>
  <si>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</si>
  <si>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</si>
  <si>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</si>
  <si>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</si>
  <si>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</si>
  <si>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</si>
  <si>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</si>
  <si>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</si>
  <si>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</si>
  <si>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</si>
  <si>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</si>
  <si>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</si>
  <si>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</si>
  <si>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</si>
  <si>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</si>
  <si>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</si>
  <si>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</si>
  <si>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</si>
  <si>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</si>
  <si>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</si>
  <si>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</si>
  <si>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</si>
  <si>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</si>
  <si>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</si>
  <si>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</si>
  <si>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</si>
  <si>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</si>
  <si>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</si>
  <si>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</si>
  <si>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</si>
  <si>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</si>
  <si>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</si>
  <si>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</si>
  <si>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</si>
  <si>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</si>
  <si>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</si>
  <si>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</si>
  <si>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</si>
  <si>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</si>
  <si>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</si>
  <si>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</si>
  <si>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</si>
  <si>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</si>
  <si>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</si>
  <si>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</si>
  <si>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</si>
  <si>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</si>
  <si>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</si>
  <si>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</si>
  <si>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</si>
  <si>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</si>
  <si>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</si>
  <si>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</si>
  <si>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</si>
  <si>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</si>
  <si>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</si>
  <si>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</si>
  <si>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</si>
  <si>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</si>
  <si>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</si>
  <si>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</si>
  <si>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</si>
  <si>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</si>
  <si>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</si>
  <si>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</si>
  <si>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</si>
  <si>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</si>
  <si>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</si>
  <si>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</si>
  <si>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</si>
  <si>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</si>
  <si>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</si>
  <si>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</si>
  <si>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</si>
  <si>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</si>
  <si>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</si>
  <si>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</si>
  <si>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</si>
  <si>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</si>
  <si>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</si>
  <si>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</si>
  <si>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</si>
  <si>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</si>
  <si>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</si>
  <si>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</si>
  <si>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</si>
  <si>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</si>
  <si>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</si>
  <si>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</si>
  <si>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</si>
  <si>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</si>
  <si>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</si>
  <si>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</si>
  <si>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</si>
  <si>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</si>
  <si>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</si>
  <si>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</si>
  <si>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</si>
  <si>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</si>
  <si>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</si>
  <si>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</si>
  <si>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</si>
  <si>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</si>
  <si>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</si>
  <si>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</si>
  <si>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</si>
  <si>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</si>
  <si>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</si>
  <si>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</si>
  <si>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</si>
  <si>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</si>
  <si>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</si>
  <si>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</si>
  <si>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</si>
  <si>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</si>
  <si>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</si>
  <si>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</si>
  <si>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</si>
  <si>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</si>
  <si>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</si>
  <si>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</si>
  <si>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</si>
  <si>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</si>
  <si>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</si>
  <si>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</si>
  <si>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</si>
  <si>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</si>
  <si>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</si>
  <si>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</si>
  <si>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</si>
  <si>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</si>
  <si>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</si>
  <si>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</si>
  <si>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</si>
  <si>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</si>
  <si>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</si>
  <si>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</si>
  <si>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</si>
  <si>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</si>
  <si>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</si>
  <si>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</si>
  <si>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</si>
  <si>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</si>
  <si>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</si>
  <si>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</si>
  <si>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</si>
  <si>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</si>
  <si>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</si>
  <si>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</si>
  <si>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</si>
  <si>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</si>
  <si>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</si>
  <si>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</si>
  <si>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</si>
  <si>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</si>
  <si>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</si>
  <si>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</si>
  <si>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</si>
  <si>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</si>
  <si>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</si>
  <si>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</si>
  <si>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</si>
  <si>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</si>
  <si>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</si>
  <si>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</si>
  <si>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</si>
  <si>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</si>
  <si>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</si>
  <si>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</si>
  <si>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</si>
  <si>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</si>
  <si>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</si>
  <si>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</si>
  <si>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</si>
  <si>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</si>
  <si>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</si>
  <si>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</si>
  <si>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</si>
  <si>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</si>
  <si>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</si>
  <si>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</si>
  <si>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</si>
  <si>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</si>
  <si>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</si>
  <si>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</si>
  <si>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</si>
  <si>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</si>
  <si>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</si>
  <si>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</si>
  <si>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</si>
  <si>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</si>
  <si>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</si>
  <si>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</si>
  <si>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</si>
  <si>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</si>
  <si>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</si>
  <si>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</si>
  <si>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</si>
  <si>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</si>
  <si>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</si>
  <si>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</si>
  <si>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</si>
  <si>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</si>
  <si>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</si>
  <si>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</si>
  <si>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</si>
  <si>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</si>
  <si>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</si>
  <si>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</si>
  <si>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</si>
  <si>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</si>
  <si>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</si>
  <si>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</si>
  <si>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</si>
  <si>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</si>
  <si>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</si>
  <si>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</si>
  <si>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</si>
  <si>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</si>
  <si>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</si>
  <si>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</si>
  <si>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</si>
  <si>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</si>
  <si>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</si>
  <si>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</si>
  <si>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</si>
  <si>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</si>
  <si>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</si>
  <si>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</si>
  <si>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</si>
  <si>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</si>
  <si>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</si>
  <si>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</si>
  <si>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</si>
  <si>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</si>
  <si>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</si>
  <si>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</si>
  <si>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</si>
  <si>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</si>
  <si>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</si>
  <si>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</si>
  <si>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</si>
  <si>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</si>
  <si>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</si>
  <si>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</si>
  <si>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</si>
  <si>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</si>
  <si>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</si>
  <si>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</si>
  <si>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</si>
  <si>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</si>
  <si>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</si>
  <si>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</si>
  <si>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</si>
  <si>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</si>
  <si>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</si>
  <si>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</si>
  <si>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</si>
  <si>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</si>
  <si>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</si>
  <si>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</si>
  <si>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</si>
  <si>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</si>
  <si>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</si>
  <si>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</si>
  <si>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</si>
  <si>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</si>
  <si>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</si>
  <si>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</si>
  <si>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</si>
  <si>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</si>
  <si>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</si>
  <si>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</si>
  <si>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</si>
  <si>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</si>
  <si>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</si>
  <si>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</si>
  <si>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</si>
  <si>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</si>
  <si>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</si>
  <si>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</si>
  <si>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</si>
  <si>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</si>
  <si>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</si>
  <si>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</si>
  <si>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</si>
  <si>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</si>
  <si>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</si>
  <si>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</si>
  <si>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</si>
  <si>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</si>
  <si>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</si>
  <si>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</si>
  <si>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</si>
  <si>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</si>
  <si>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</si>
  <si>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</si>
  <si>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</si>
  <si>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</si>
  <si>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</si>
  <si>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</si>
  <si>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</si>
  <si>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</si>
  <si>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</si>
  <si>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</si>
  <si>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</si>
  <si>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</si>
  <si>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</si>
  <si>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</si>
  <si>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</si>
  <si>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</si>
  <si>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</si>
  <si>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</si>
  <si>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</si>
  <si>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</si>
  <si>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</si>
  <si>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</si>
  <si>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</si>
  <si>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</si>
  <si>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</si>
  <si>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</si>
  <si>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</si>
  <si>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</si>
  <si>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</si>
  <si>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</si>
  <si>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</si>
  <si>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</si>
  <si>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</si>
  <si>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</si>
  <si>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</si>
  <si>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</si>
  <si>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</si>
  <si>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</si>
  <si>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</si>
  <si>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</si>
  <si>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</si>
  <si>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</si>
  <si>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</si>
  <si>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</si>
  <si>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</si>
  <si>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</si>
  <si>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</si>
  <si>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</si>
  <si>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</si>
  <si>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</si>
  <si>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</si>
  <si>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</si>
  <si>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</si>
  <si>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</si>
  <si>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</si>
  <si>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</si>
  <si>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</si>
  <si>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</si>
  <si>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</si>
  <si>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</si>
  <si>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</si>
  <si>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</si>
  <si>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</si>
  <si>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</si>
  <si>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</si>
  <si>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</si>
  <si>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</si>
  <si>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</si>
  <si>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</si>
  <si>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</si>
  <si>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</si>
  <si>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</si>
  <si>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</si>
  <si>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</si>
  <si>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</si>
  <si>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</si>
  <si>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</si>
  <si>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</si>
  <si>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</si>
  <si>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</si>
  <si>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</si>
  <si>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</si>
  <si>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</si>
  <si>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</si>
  <si>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</si>
  <si>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</si>
  <si>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</si>
  <si>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</si>
  <si>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</si>
  <si>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</si>
  <si>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</si>
  <si>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</si>
  <si>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</si>
  <si>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</si>
  <si>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</si>
  <si>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</si>
  <si>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</si>
  <si>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</si>
  <si>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</si>
  <si>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</si>
  <si>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</si>
  <si>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</si>
  <si>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</si>
  <si>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</si>
  <si>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</si>
  <si>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</si>
  <si>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</si>
  <si>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</si>
  <si>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</si>
  <si>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</si>
  <si>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</si>
  <si>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</si>
  <si>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</si>
  <si>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</si>
  <si>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</si>
  <si>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</si>
  <si>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</si>
  <si>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</si>
  <si>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</si>
  <si>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</si>
  <si>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</si>
  <si>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</si>
  <si>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</si>
  <si>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</si>
  <si>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</si>
  <si>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</si>
  <si>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</si>
  <si>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</si>
  <si>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</si>
  <si>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</si>
  <si>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</si>
  <si>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</si>
  <si>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</si>
  <si>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</si>
  <si>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</si>
  <si>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</si>
  <si>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</si>
  <si>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</si>
  <si>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</si>
  <si>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</si>
  <si>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</si>
  <si>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</si>
  <si>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</si>
  <si>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</si>
  <si>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</si>
  <si>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</si>
  <si>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</si>
  <si>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</si>
  <si>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</si>
  <si>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</si>
  <si>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</si>
  <si>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</si>
  <si>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</si>
  <si>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</si>
  <si>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</si>
  <si>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</si>
  <si>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</si>
  <si>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</si>
  <si>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</si>
  <si>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</si>
  <si>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</si>
  <si>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</si>
  <si>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</si>
  <si>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</si>
  <si>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</si>
  <si>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</si>
  <si>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</si>
  <si>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</si>
  <si>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</si>
  <si>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</si>
  <si>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</si>
  <si>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</si>
  <si>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</si>
  <si>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</si>
  <si>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</si>
  <si>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</si>
  <si>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</si>
  <si>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</si>
  <si>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</si>
  <si>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</si>
  <si>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</si>
  <si>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</si>
  <si>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</si>
  <si>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</si>
  <si>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</si>
  <si>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</si>
  <si>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</si>
  <si>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</si>
  <si>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</si>
  <si>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</si>
  <si>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</si>
  <si>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</si>
  <si>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</si>
  <si>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</si>
  <si>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</si>
  <si>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</si>
  <si>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</si>
  <si>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</si>
  <si>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</si>
  <si>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</si>
  <si>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</si>
  <si>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</si>
  <si>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</si>
  <si>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</si>
  <si>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</si>
  <si>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</si>
  <si>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</si>
  <si>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</si>
  <si>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</si>
  <si>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</si>
  <si>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</si>
  <si>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</si>
  <si>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</si>
  <si>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</si>
  <si>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</si>
  <si>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</si>
  <si>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</si>
  <si>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</si>
  <si>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</si>
  <si>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</si>
  <si>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</si>
  <si>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</si>
  <si>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</si>
  <si>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</si>
  <si>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</si>
  <si>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</si>
  <si>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</si>
  <si>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</si>
  <si>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</si>
  <si>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</si>
  <si>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</si>
  <si>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</si>
  <si>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</si>
  <si>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</si>
  <si>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</si>
  <si>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</si>
  <si>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</si>
  <si>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</si>
  <si>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</si>
  <si>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</si>
  <si>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</si>
  <si>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</si>
  <si>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</si>
  <si>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</si>
  <si>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</si>
  <si>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</si>
  <si>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</si>
  <si>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</si>
  <si>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</si>
  <si>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</si>
  <si>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</si>
  <si>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</si>
  <si>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</si>
  <si>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</si>
  <si>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</si>
  <si>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</si>
  <si>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</si>
  <si>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</si>
  <si>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</si>
  <si>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</si>
  <si>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</si>
  <si>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</si>
  <si>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</si>
  <si>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</si>
  <si>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</si>
  <si>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</si>
  <si>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</si>
  <si>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</si>
  <si>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</si>
  <si>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</si>
  <si>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</si>
  <si>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</si>
  <si>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</si>
  <si>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</si>
  <si>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</si>
  <si>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</si>
  <si>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</si>
  <si>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</si>
  <si>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</si>
  <si>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</si>
  <si>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</si>
  <si>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</si>
  <si>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КОНСОЛИДИРАН</t>
  </si>
  <si>
    <t>"Болкан енд Сий Пропъртис "АДСИЦ</t>
  </si>
  <si>
    <t>2."Св. Св. Константин и Елена холдинг"АД</t>
  </si>
  <si>
    <t>1. "Елпром Термо 97"АД</t>
  </si>
  <si>
    <t>3"Детелина "АД</t>
  </si>
  <si>
    <t>Съставител:Н. Апостолова</t>
  </si>
  <si>
    <t>Ръководител:М. Близнаков</t>
  </si>
  <si>
    <t>Ръководител: Т. Парушева</t>
  </si>
  <si>
    <t xml:space="preserve">Н. Апостолова </t>
  </si>
  <si>
    <t>`М. Близнаков</t>
  </si>
  <si>
    <t xml:space="preserve">Т. Парушева </t>
  </si>
  <si>
    <t xml:space="preserve">Съставител: Н. Апостолова </t>
  </si>
  <si>
    <t xml:space="preserve">Ръководител:Т. Парушева </t>
  </si>
  <si>
    <t xml:space="preserve"> Ръководител: М. Близнаков</t>
  </si>
  <si>
    <t xml:space="preserve"> Ръководител: Т. Парушева </t>
  </si>
  <si>
    <t xml:space="preserve">                                    Съставител: Н. Апостолова</t>
  </si>
  <si>
    <t>Съставител: Н. Апостолова</t>
  </si>
  <si>
    <t>Ръководител: М. Близнаков</t>
  </si>
  <si>
    <t>Ръководител: Т. Парушева .</t>
  </si>
  <si>
    <t>М. Близнаков</t>
  </si>
  <si>
    <t>Т. Парушева</t>
  </si>
  <si>
    <t>Съставител: Н. Апостолова .</t>
  </si>
  <si>
    <t xml:space="preserve">Ръководител: Т. Парушева </t>
  </si>
  <si>
    <t xml:space="preserve">01.01.2008Г.-31.12.2008Г. </t>
  </si>
  <si>
    <t>4.Глобал Проджект Мениджмънт ЕООД</t>
  </si>
  <si>
    <t>5.ГИС ВАРНА АД</t>
  </si>
  <si>
    <t>Дата на съставяне: 27.02.2009</t>
  </si>
  <si>
    <t>Дата на съставяне:27.02.2009</t>
  </si>
  <si>
    <t>Дата на съставяне: 29.02.2009</t>
  </si>
  <si>
    <t xml:space="preserve">Дата  на съставяне: 29.02.2009                                                                                                         </t>
  </si>
  <si>
    <t xml:space="preserve">Дата на съставяне:                 27.02.2009                      </t>
  </si>
  <si>
    <t>27.02.2007г</t>
  </si>
  <si>
    <t>ХОЛДИНГ " ВАРНА " АД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</si>
</sst>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"/>
  </numFmts>
  <fonts count="4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1" fillId="1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15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18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17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18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18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7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17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17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15" borderId="14" xfId="62" applyNumberFormat="1" applyFont="1" applyFill="1" applyBorder="1" applyAlignment="1" applyProtection="1">
      <alignment horizontal="left" vertical="center" wrapText="1"/>
      <protection/>
    </xf>
    <xf numFmtId="1" fontId="13" fillId="15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17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17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9" applyNumberFormat="1" applyFont="1" applyFill="1" applyBorder="1" applyAlignment="1" applyProtection="1">
      <alignment horizontal="right"/>
      <protection locked="0"/>
    </xf>
    <xf numFmtId="1" fontId="13" fillId="18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17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17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17" borderId="12" xfId="64" applyNumberFormat="1" applyFont="1" applyFill="1" applyBorder="1" applyAlignment="1" applyProtection="1">
      <alignment vertical="top" wrapText="1"/>
      <protection locked="0"/>
    </xf>
    <xf numFmtId="1" fontId="10" fillId="17" borderId="17" xfId="64" applyNumberFormat="1" applyFont="1" applyFill="1" applyBorder="1" applyAlignment="1" applyProtection="1">
      <alignment vertical="top" wrapText="1"/>
      <protection locked="0"/>
    </xf>
    <xf numFmtId="1" fontId="10" fillId="18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7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18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15" borderId="13" xfId="67" applyFont="1" applyFill="1" applyBorder="1" applyAlignment="1">
      <alignment horizontal="centerContinuous" vertical="center" wrapText="1"/>
      <protection/>
    </xf>
    <xf numFmtId="0" fontId="12" fillId="15" borderId="11" xfId="67" applyFont="1" applyFill="1" applyBorder="1" applyAlignment="1">
      <alignment horizontal="centerContinuous" vertical="center" wrapText="1"/>
      <protection/>
    </xf>
    <xf numFmtId="1" fontId="13" fillId="15" borderId="12" xfId="67" applyNumberFormat="1" applyFont="1" applyFill="1" applyBorder="1" applyAlignment="1" applyProtection="1">
      <alignment vertical="center"/>
      <protection locked="0"/>
    </xf>
    <xf numFmtId="1" fontId="13" fillId="15" borderId="14" xfId="67" applyNumberFormat="1" applyFont="1" applyFill="1" applyBorder="1" applyAlignment="1" applyProtection="1">
      <alignment vertical="center"/>
      <protection locked="0"/>
    </xf>
    <xf numFmtId="1" fontId="13" fillId="15" borderId="16" xfId="67" applyNumberFormat="1" applyFont="1" applyFill="1" applyBorder="1" applyAlignment="1" applyProtection="1">
      <alignment vertical="center"/>
      <protection locked="0"/>
    </xf>
    <xf numFmtId="1" fontId="13" fillId="17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17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17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15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18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15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15" borderId="18" xfId="64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26" fillId="19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19" borderId="10" xfId="64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19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19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19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19" borderId="10" xfId="64" applyNumberFormat="1" applyFont="1" applyFill="1" applyBorder="1" applyAlignment="1" applyProtection="1">
      <alignment vertical="top"/>
      <protection/>
    </xf>
    <xf numFmtId="0" fontId="26" fillId="19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15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2" borderId="17" xfId="64" applyNumberFormat="1" applyFont="1" applyFill="1" applyBorder="1" applyAlignment="1" applyProtection="1">
      <alignment vertical="top" wrapText="1"/>
      <protection locked="0"/>
    </xf>
    <xf numFmtId="1" fontId="10" fillId="2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15" borderId="10" xfId="62" applyNumberFormat="1" applyFont="1" applyFill="1" applyBorder="1" applyAlignment="1" applyProtection="1">
      <alignment vertical="justify" wrapText="1"/>
      <protection/>
    </xf>
    <xf numFmtId="0" fontId="13" fillId="15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15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15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3" fillId="17" borderId="10" xfId="63" applyNumberFormat="1" applyFont="1" applyFill="1" applyBorder="1" applyAlignment="1" applyProtection="1">
      <alignment horizontal="center"/>
      <protection locked="0"/>
    </xf>
    <xf numFmtId="1" fontId="5" fillId="17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19" borderId="10" xfId="64" applyFont="1" applyFill="1" applyBorder="1" applyAlignment="1" applyProtection="1">
      <alignment horizontal="left" vertical="top" wrapText="1"/>
      <protection/>
    </xf>
    <xf numFmtId="1" fontId="25" fillId="19" borderId="10" xfId="64" applyNumberFormat="1" applyFont="1" applyFill="1" applyBorder="1" applyAlignment="1" applyProtection="1">
      <alignment vertical="top" wrapText="1"/>
      <protection/>
    </xf>
    <xf numFmtId="0" fontId="25" fillId="19" borderId="37" xfId="64" applyFont="1" applyFill="1" applyBorder="1" applyAlignment="1" applyProtection="1">
      <alignment horizontal="left" vertical="top" wrapText="1"/>
      <protection/>
    </xf>
    <xf numFmtId="0" fontId="25" fillId="19" borderId="29" xfId="64" applyFont="1" applyFill="1" applyBorder="1" applyAlignment="1" applyProtection="1">
      <alignment vertical="top" wrapText="1"/>
      <protection/>
    </xf>
    <xf numFmtId="0" fontId="25" fillId="19" borderId="38" xfId="64" applyFont="1" applyFill="1" applyBorder="1" applyAlignment="1" applyProtection="1">
      <alignment vertical="top" wrapText="1"/>
      <protection/>
    </xf>
    <xf numFmtId="49" fontId="25" fillId="19" borderId="36" xfId="64" applyNumberFormat="1" applyFont="1" applyFill="1" applyBorder="1" applyAlignment="1" applyProtection="1">
      <alignment vertical="center" wrapText="1"/>
      <protection/>
    </xf>
    <xf numFmtId="0" fontId="25" fillId="19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17" borderId="10" xfId="62" applyNumberFormat="1" applyFont="1" applyFill="1" applyBorder="1" applyAlignment="1" applyProtection="1">
      <alignment vertical="center"/>
      <protection locked="0"/>
    </xf>
    <xf numFmtId="1" fontId="13" fillId="17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7" borderId="10" xfId="62" applyNumberFormat="1" applyFont="1" applyFill="1" applyBorder="1" applyAlignment="1" applyProtection="1">
      <alignment vertical="center"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4" fontId="19" fillId="0" borderId="0" xfId="66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Alignment="1" applyProtection="1">
      <alignment wrapText="1"/>
      <protection locked="0"/>
    </xf>
    <xf numFmtId="3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1" fontId="8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E4" sqref="E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888</v>
      </c>
      <c r="F3" s="273" t="s">
        <v>2</v>
      </c>
      <c r="G3" s="226"/>
      <c r="H3" s="594">
        <v>103249584</v>
      </c>
    </row>
    <row r="4" spans="1:8" ht="28.5">
      <c r="A4" s="204" t="s">
        <v>3</v>
      </c>
      <c r="B4" s="582"/>
      <c r="C4" s="582"/>
      <c r="D4" s="583"/>
      <c r="E4" s="575" t="s">
        <v>856</v>
      </c>
      <c r="F4" s="224" t="s">
        <v>4</v>
      </c>
      <c r="G4" s="225"/>
      <c r="H4" s="594">
        <v>17</v>
      </c>
    </row>
    <row r="5" spans="1:8" ht="15">
      <c r="A5" s="204" t="s">
        <v>5</v>
      </c>
      <c r="B5" s="268"/>
      <c r="C5" s="268"/>
      <c r="D5" s="268"/>
      <c r="E5" s="595" t="s">
        <v>879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5397</v>
      </c>
      <c r="D11" s="205">
        <v>4409</v>
      </c>
      <c r="E11" s="293" t="s">
        <v>22</v>
      </c>
      <c r="F11" s="298" t="s">
        <v>23</v>
      </c>
      <c r="G11" s="206">
        <v>5236</v>
      </c>
      <c r="H11" s="206">
        <v>2100</v>
      </c>
    </row>
    <row r="12" spans="1:8" ht="15">
      <c r="A12" s="291" t="s">
        <v>24</v>
      </c>
      <c r="B12" s="297" t="s">
        <v>25</v>
      </c>
      <c r="C12" s="205">
        <v>2306</v>
      </c>
      <c r="D12" s="205">
        <v>1838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259</v>
      </c>
      <c r="D13" s="205">
        <v>271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209</v>
      </c>
      <c r="D15" s="205">
        <v>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27</v>
      </c>
      <c r="D16" s="205">
        <v>14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1609</v>
      </c>
      <c r="D17" s="205">
        <v>198</v>
      </c>
      <c r="E17" s="299" t="s">
        <v>46</v>
      </c>
      <c r="F17" s="301" t="s">
        <v>47</v>
      </c>
      <c r="G17" s="208">
        <f>G11+G14+G15+G16</f>
        <v>5236</v>
      </c>
      <c r="H17" s="208">
        <f>H11+H14+H15+H16</f>
        <v>2100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179</v>
      </c>
      <c r="D18" s="205">
        <v>58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9986</v>
      </c>
      <c r="D19" s="209">
        <f>SUM(D11:D18)</f>
        <v>6817</v>
      </c>
      <c r="E19" s="293" t="s">
        <v>53</v>
      </c>
      <c r="F19" s="298" t="s">
        <v>54</v>
      </c>
      <c r="G19" s="206">
        <v>113243</v>
      </c>
      <c r="H19" s="206">
        <v>48425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>
        <v>78</v>
      </c>
      <c r="E20" s="293" t="s">
        <v>57</v>
      </c>
      <c r="F20" s="298" t="s">
        <v>58</v>
      </c>
      <c r="G20" s="212">
        <v>-2857</v>
      </c>
      <c r="H20" s="212">
        <v>-40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1200</v>
      </c>
      <c r="H21" s="210">
        <f>SUM(H22:H24)</f>
        <v>1256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216</v>
      </c>
      <c r="H22" s="206">
        <v>104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72</v>
      </c>
      <c r="D24" s="205">
        <v>2</v>
      </c>
      <c r="E24" s="293" t="s">
        <v>72</v>
      </c>
      <c r="F24" s="298" t="s">
        <v>73</v>
      </c>
      <c r="G24" s="206">
        <v>984</v>
      </c>
      <c r="H24" s="206">
        <v>1152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111586</v>
      </c>
      <c r="H25" s="208">
        <f>H19+H20+H21</f>
        <v>49641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72</v>
      </c>
      <c r="D27" s="209">
        <f>SUM(D23:D26)</f>
        <v>2</v>
      </c>
      <c r="E27" s="309" t="s">
        <v>83</v>
      </c>
      <c r="F27" s="298" t="s">
        <v>84</v>
      </c>
      <c r="G27" s="208">
        <f>SUM(G28:G30)</f>
        <v>17663</v>
      </c>
      <c r="H27" s="208">
        <f>SUM(H28:H30)</f>
        <v>12223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17663</v>
      </c>
      <c r="H28" s="206">
        <v>12223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f>'справка №2-ОТЧЕТ ЗА ДОХОДИТЕ'!C41</f>
        <v>2710</v>
      </c>
      <c r="H31" s="206">
        <f>'справка №2-ОТЧЕТ ЗА ДОХОДИТЕ'!D41</f>
        <v>5576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20373</v>
      </c>
      <c r="H33" s="208">
        <f>H27+H31+H32</f>
        <v>17799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1780</v>
      </c>
      <c r="D34" s="209">
        <f>SUM(D35:D38)</f>
        <v>5748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137195</v>
      </c>
      <c r="H36" s="208">
        <f>H25+H17+H33</f>
        <v>69540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143</v>
      </c>
      <c r="D37" s="205">
        <v>1374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1637</v>
      </c>
      <c r="D38" s="205">
        <v>4374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>
        <v>1105</v>
      </c>
      <c r="H39" s="212">
        <v>1120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>
        <v>322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2102</v>
      </c>
      <c r="H44" s="206"/>
    </row>
    <row r="45" spans="1:15" ht="15">
      <c r="A45" s="291" t="s">
        <v>136</v>
      </c>
      <c r="B45" s="305" t="s">
        <v>137</v>
      </c>
      <c r="C45" s="209">
        <f>C34+C39+C44</f>
        <v>1780</v>
      </c>
      <c r="D45" s="209">
        <f>D34+D39+D44</f>
        <v>5748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>
        <v>15577</v>
      </c>
      <c r="H47" s="206">
        <v>19451</v>
      </c>
      <c r="M47" s="211"/>
    </row>
    <row r="48" spans="1:8" ht="15">
      <c r="A48" s="291" t="s">
        <v>147</v>
      </c>
      <c r="B48" s="300" t="s">
        <v>148</v>
      </c>
      <c r="C48" s="205">
        <v>0</v>
      </c>
      <c r="D48" s="205">
        <v>2294</v>
      </c>
      <c r="E48" s="293" t="s">
        <v>149</v>
      </c>
      <c r="F48" s="298" t="s">
        <v>150</v>
      </c>
      <c r="G48" s="206">
        <v>14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17693</v>
      </c>
      <c r="H49" s="208">
        <f>SUM(H43:H48)</f>
        <v>19773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2294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>
        <v>0</v>
      </c>
      <c r="D53" s="205">
        <v>0</v>
      </c>
      <c r="E53" s="293" t="s">
        <v>164</v>
      </c>
      <c r="F53" s="301" t="s">
        <v>165</v>
      </c>
      <c r="G53" s="206">
        <v>967</v>
      </c>
      <c r="H53" s="206">
        <v>52</v>
      </c>
    </row>
    <row r="54" spans="1:8" ht="15">
      <c r="A54" s="291" t="s">
        <v>166</v>
      </c>
      <c r="B54" s="305" t="s">
        <v>167</v>
      </c>
      <c r="C54" s="205">
        <v>21</v>
      </c>
      <c r="D54" s="205">
        <v>19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11859</v>
      </c>
      <c r="D55" s="209">
        <f>D19+D20+D21+D27+D32+D45+D51+D53+D54</f>
        <v>14958</v>
      </c>
      <c r="E55" s="293" t="s">
        <v>172</v>
      </c>
      <c r="F55" s="317" t="s">
        <v>173</v>
      </c>
      <c r="G55" s="208">
        <f>G49+G51+G52+G53+G54</f>
        <v>18660</v>
      </c>
      <c r="H55" s="208">
        <f>H49+H51+H52+H53+H54</f>
        <v>19825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110</v>
      </c>
      <c r="D58" s="205">
        <v>135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27</v>
      </c>
      <c r="D59" s="205">
        <v>32</v>
      </c>
      <c r="E59" s="307" t="s">
        <v>181</v>
      </c>
      <c r="F59" s="298" t="s">
        <v>182</v>
      </c>
      <c r="G59" s="206">
        <v>10244</v>
      </c>
      <c r="H59" s="206">
        <v>0</v>
      </c>
      <c r="M59" s="211"/>
    </row>
    <row r="60" spans="1:8" ht="15">
      <c r="A60" s="291" t="s">
        <v>183</v>
      </c>
      <c r="B60" s="297" t="s">
        <v>184</v>
      </c>
      <c r="C60" s="205">
        <v>4</v>
      </c>
      <c r="D60" s="205">
        <v>4</v>
      </c>
      <c r="E60" s="293" t="s">
        <v>185</v>
      </c>
      <c r="F60" s="298" t="s">
        <v>186</v>
      </c>
      <c r="G60" s="206">
        <f>12+3893</f>
        <v>3905</v>
      </c>
      <c r="H60" s="206"/>
    </row>
    <row r="61" spans="1:18" ht="15">
      <c r="A61" s="291" t="s">
        <v>187</v>
      </c>
      <c r="B61" s="300" t="s">
        <v>188</v>
      </c>
      <c r="C61" s="205">
        <v>407</v>
      </c>
      <c r="D61" s="205">
        <v>359</v>
      </c>
      <c r="E61" s="299" t="s">
        <v>189</v>
      </c>
      <c r="F61" s="328" t="s">
        <v>190</v>
      </c>
      <c r="G61" s="208">
        <f>SUM(G62:G68)</f>
        <v>12195</v>
      </c>
      <c r="H61" s="208">
        <f>SUM(H62:H68)</f>
        <v>9920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2818</v>
      </c>
      <c r="H62" s="206">
        <v>1974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40</v>
      </c>
      <c r="H63" s="206">
        <v>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548</v>
      </c>
      <c r="D64" s="209">
        <f>SUM(D58:D63)</f>
        <v>530</v>
      </c>
      <c r="E64" s="293" t="s">
        <v>200</v>
      </c>
      <c r="F64" s="298" t="s">
        <v>201</v>
      </c>
      <c r="G64" s="206">
        <v>9031</v>
      </c>
      <c r="H64" s="206">
        <v>7654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205</v>
      </c>
      <c r="H66" s="206">
        <v>250</v>
      </c>
    </row>
    <row r="67" spans="1:8" ht="15">
      <c r="A67" s="291" t="s">
        <v>207</v>
      </c>
      <c r="B67" s="297" t="s">
        <v>208</v>
      </c>
      <c r="C67" s="205">
        <v>59927</v>
      </c>
      <c r="D67" s="205">
        <v>3793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f>54+37+8+1265</f>
        <v>1364</v>
      </c>
      <c r="D68" s="205">
        <v>920</v>
      </c>
      <c r="E68" s="293" t="s">
        <v>213</v>
      </c>
      <c r="F68" s="298" t="s">
        <v>214</v>
      </c>
      <c r="G68" s="206">
        <v>101</v>
      </c>
      <c r="H68" s="206">
        <v>42</v>
      </c>
    </row>
    <row r="69" spans="1:8" ht="15">
      <c r="A69" s="291" t="s">
        <v>215</v>
      </c>
      <c r="B69" s="297" t="s">
        <v>216</v>
      </c>
      <c r="C69" s="205">
        <v>68682</v>
      </c>
      <c r="D69" s="205">
        <v>20162</v>
      </c>
      <c r="E69" s="307" t="s">
        <v>78</v>
      </c>
      <c r="F69" s="298" t="s">
        <v>217</v>
      </c>
      <c r="G69" s="206">
        <v>317</v>
      </c>
      <c r="H69" s="206">
        <v>317</v>
      </c>
    </row>
    <row r="70" spans="1:8" ht="15">
      <c r="A70" s="291" t="s">
        <v>218</v>
      </c>
      <c r="B70" s="297" t="s">
        <v>219</v>
      </c>
      <c r="C70" s="205">
        <v>24909</v>
      </c>
      <c r="D70" s="205">
        <v>6349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150</v>
      </c>
      <c r="D71" s="205">
        <v>44</v>
      </c>
      <c r="E71" s="309" t="s">
        <v>46</v>
      </c>
      <c r="F71" s="329" t="s">
        <v>224</v>
      </c>
      <c r="G71" s="215">
        <f>G59+G60+G61+G69+G70</f>
        <v>26661</v>
      </c>
      <c r="H71" s="215">
        <f>H59+H60+H61+H69+H70</f>
        <v>10237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496</v>
      </c>
      <c r="D72" s="205">
        <v>29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f>1+39+2</f>
        <v>42</v>
      </c>
      <c r="D74" s="205">
        <v>107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155570</v>
      </c>
      <c r="D75" s="209">
        <f>SUM(D67:D74)</f>
        <v>31404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26661</v>
      </c>
      <c r="H79" s="216">
        <f>H71+H74+H75+H76</f>
        <v>10237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>
        <v>10717</v>
      </c>
      <c r="D82" s="205">
        <v>10082</v>
      </c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10717</v>
      </c>
      <c r="D84" s="209">
        <f>D83+D82+D78</f>
        <v>10082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1604</v>
      </c>
      <c r="D87" s="205">
        <v>203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3323</v>
      </c>
      <c r="D88" s="205">
        <v>43545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>
        <v>0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4927</v>
      </c>
      <c r="D91" s="209">
        <f>SUM(D87:D90)</f>
        <v>43748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171762</v>
      </c>
      <c r="D93" s="209">
        <f>D64+D75+D84+D91+D92</f>
        <v>85764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183621</v>
      </c>
      <c r="D94" s="218">
        <f>D93+D55</f>
        <v>100722</v>
      </c>
      <c r="E94" s="557" t="s">
        <v>270</v>
      </c>
      <c r="F94" s="345" t="s">
        <v>271</v>
      </c>
      <c r="G94" s="219">
        <f>G36+G39+G55+G79</f>
        <v>183621</v>
      </c>
      <c r="H94" s="219">
        <f>H36+H39+H55+H79</f>
        <v>100722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597"/>
      <c r="H97" s="598"/>
      <c r="M97" s="211"/>
    </row>
    <row r="98" spans="1:13" ht="15">
      <c r="A98" s="78" t="s">
        <v>272</v>
      </c>
      <c r="B98" s="539"/>
      <c r="C98" s="609" t="s">
        <v>861</v>
      </c>
      <c r="D98" s="607"/>
      <c r="E98" s="607"/>
      <c r="F98" s="224"/>
      <c r="G98" s="225"/>
      <c r="H98" s="226"/>
      <c r="M98" s="211"/>
    </row>
    <row r="99" spans="1:8" ht="15">
      <c r="A99" s="223" t="s">
        <v>887</v>
      </c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862</v>
      </c>
      <c r="D100" s="608"/>
      <c r="E100" s="608"/>
    </row>
    <row r="102" spans="3:5" ht="15">
      <c r="C102" s="607" t="s">
        <v>863</v>
      </c>
      <c r="D102" s="608"/>
      <c r="E102" s="608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3">
    <mergeCell ref="C100:E100"/>
    <mergeCell ref="C98:E98"/>
    <mergeCell ref="C102:E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ХОЛДИНГ " ВАРНА " АД</v>
      </c>
      <c r="F2" s="612" t="s">
        <v>2</v>
      </c>
      <c r="G2" s="612"/>
      <c r="H2" s="353">
        <f>'справка №1-БАЛАНС'!H3</f>
        <v>103249584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КОНСОЛИДИРАН</v>
      </c>
      <c r="F3" s="568" t="s">
        <v>4</v>
      </c>
      <c r="G3" s="354"/>
      <c r="H3" s="353">
        <f>'справка №1-БАЛАНС'!H4</f>
        <v>17</v>
      </c>
    </row>
    <row r="4" spans="1:8" ht="17.25" customHeight="1">
      <c r="A4" s="6" t="s">
        <v>5</v>
      </c>
      <c r="B4" s="570"/>
      <c r="C4" s="570"/>
      <c r="D4" s="570"/>
      <c r="E4" s="533" t="str">
        <f>'справка №1-БАЛАНС'!E5</f>
        <v>01.01.2008Г.-31.12.2008Г. 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353</v>
      </c>
      <c r="D9" s="79">
        <v>435</v>
      </c>
      <c r="E9" s="363" t="s">
        <v>284</v>
      </c>
      <c r="F9" s="365" t="s">
        <v>285</v>
      </c>
      <c r="G9" s="87">
        <v>4</v>
      </c>
      <c r="H9" s="87">
        <v>631</v>
      </c>
    </row>
    <row r="10" spans="1:8" ht="12">
      <c r="A10" s="363" t="s">
        <v>286</v>
      </c>
      <c r="B10" s="364" t="s">
        <v>287</v>
      </c>
      <c r="C10" s="79">
        <v>1499</v>
      </c>
      <c r="D10" s="79">
        <v>254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156</v>
      </c>
      <c r="D11" s="79">
        <v>99</v>
      </c>
      <c r="E11" s="366" t="s">
        <v>292</v>
      </c>
      <c r="F11" s="365" t="s">
        <v>293</v>
      </c>
      <c r="G11" s="87">
        <v>2041</v>
      </c>
      <c r="H11" s="87">
        <v>155</v>
      </c>
    </row>
    <row r="12" spans="1:8" ht="12">
      <c r="A12" s="363" t="s">
        <v>294</v>
      </c>
      <c r="B12" s="364" t="s">
        <v>295</v>
      </c>
      <c r="C12" s="79">
        <v>543</v>
      </c>
      <c r="D12" s="79">
        <v>597</v>
      </c>
      <c r="E12" s="366" t="s">
        <v>78</v>
      </c>
      <c r="F12" s="365" t="s">
        <v>296</v>
      </c>
      <c r="G12" s="87">
        <f>982+35+32</f>
        <v>1049</v>
      </c>
      <c r="H12" s="87">
        <f>648+100+100</f>
        <v>848</v>
      </c>
    </row>
    <row r="13" spans="1:18" ht="12">
      <c r="A13" s="363" t="s">
        <v>297</v>
      </c>
      <c r="B13" s="364" t="s">
        <v>298</v>
      </c>
      <c r="C13" s="79">
        <v>88</v>
      </c>
      <c r="D13" s="79">
        <v>75</v>
      </c>
      <c r="E13" s="367" t="s">
        <v>51</v>
      </c>
      <c r="F13" s="368" t="s">
        <v>299</v>
      </c>
      <c r="G13" s="88">
        <f>SUM(G9:G12)</f>
        <v>3094</v>
      </c>
      <c r="H13" s="88">
        <f>SUM(H9:H12)</f>
        <v>1634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22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>
        <v>61</v>
      </c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311</v>
      </c>
      <c r="D16" s="80">
        <v>127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>
        <v>8</v>
      </c>
      <c r="D17" s="81">
        <v>0</v>
      </c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2972</v>
      </c>
      <c r="D19" s="82">
        <f>SUM(D9:D15)+D16</f>
        <v>1648</v>
      </c>
      <c r="E19" s="373" t="s">
        <v>316</v>
      </c>
      <c r="F19" s="369" t="s">
        <v>317</v>
      </c>
      <c r="G19" s="87">
        <v>1052</v>
      </c>
      <c r="H19" s="87">
        <v>243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>
        <v>59</v>
      </c>
      <c r="H20" s="87">
        <v>367</v>
      </c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>
        <f>192+8380+3908+20</f>
        <v>12500</v>
      </c>
      <c r="H21" s="87">
        <v>6967</v>
      </c>
    </row>
    <row r="22" spans="1:8" ht="24">
      <c r="A22" s="360" t="s">
        <v>323</v>
      </c>
      <c r="B22" s="375" t="s">
        <v>324</v>
      </c>
      <c r="C22" s="79">
        <v>2247</v>
      </c>
      <c r="D22" s="79">
        <v>1872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>
        <f>5425</f>
        <v>5425</v>
      </c>
      <c r="D23" s="79">
        <v>5</v>
      </c>
      <c r="E23" s="363" t="s">
        <v>329</v>
      </c>
      <c r="F23" s="369" t="s">
        <v>330</v>
      </c>
      <c r="G23" s="87">
        <f>321+63+135</f>
        <v>519</v>
      </c>
      <c r="H23" s="87"/>
    </row>
    <row r="24" spans="1:18" ht="12">
      <c r="A24" s="363" t="s">
        <v>331</v>
      </c>
      <c r="B24" s="375" t="s">
        <v>332</v>
      </c>
      <c r="C24" s="79">
        <v>0</v>
      </c>
      <c r="D24" s="79">
        <v>0</v>
      </c>
      <c r="E24" s="367" t="s">
        <v>103</v>
      </c>
      <c r="F24" s="370" t="s">
        <v>333</v>
      </c>
      <c r="G24" s="88">
        <f>SUM(G19:G23)</f>
        <v>14130</v>
      </c>
      <c r="H24" s="88">
        <f>SUM(H19:H23)</f>
        <v>7577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f>2658+5+88</f>
        <v>2751</v>
      </c>
      <c r="D25" s="79">
        <v>20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10423</v>
      </c>
      <c r="D26" s="82">
        <f>SUM(D22:D25)</f>
        <v>1897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13395</v>
      </c>
      <c r="D28" s="83">
        <f>D26+D19</f>
        <v>3545</v>
      </c>
      <c r="E28" s="174" t="s">
        <v>338</v>
      </c>
      <c r="F28" s="370" t="s">
        <v>339</v>
      </c>
      <c r="G28" s="88">
        <f>G13+G15+G24</f>
        <v>17224</v>
      </c>
      <c r="H28" s="88">
        <f>H13+H15+H24</f>
        <v>9211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3829</v>
      </c>
      <c r="D30" s="83">
        <f>IF((H28-D28)&gt;0,H28-D28,0)</f>
        <v>5666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344</v>
      </c>
      <c r="C31" s="79">
        <v>0</v>
      </c>
      <c r="D31" s="79"/>
      <c r="E31" s="361" t="s">
        <v>852</v>
      </c>
      <c r="F31" s="369" t="s">
        <v>345</v>
      </c>
      <c r="G31" s="87">
        <v>0</v>
      </c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13395</v>
      </c>
      <c r="D33" s="82">
        <f>D28-D31+D32</f>
        <v>3545</v>
      </c>
      <c r="E33" s="174" t="s">
        <v>352</v>
      </c>
      <c r="F33" s="370" t="s">
        <v>353</v>
      </c>
      <c r="G33" s="90">
        <f>G32-G31+G28</f>
        <v>17224</v>
      </c>
      <c r="H33" s="90">
        <f>H32-H31+H28</f>
        <v>9211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3829</v>
      </c>
      <c r="D34" s="83">
        <f>IF((H33-D33)&gt;0,H33-D33,0)</f>
        <v>5666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1001</v>
      </c>
      <c r="D35" s="82">
        <f>D36+D37+D38</f>
        <v>32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1001</v>
      </c>
      <c r="D37" s="537">
        <v>32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69">
        <f>+IF((G33-C33-C35)&gt;0,G33-C33-C35,0)</f>
        <v>2828</v>
      </c>
      <c r="D39" s="569">
        <f>+IF((H33-D33-D35)&gt;0,H33-D33-D35,0)</f>
        <v>5634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>
        <v>118</v>
      </c>
      <c r="D40" s="84">
        <v>58</v>
      </c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2710</v>
      </c>
      <c r="D41" s="85">
        <f>IF(H39=0,IF(D39-D40&gt;0,D39-D40+H40,0),IF(H39-H40&lt;0,H40-H39+D39,0))</f>
        <v>5576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17224</v>
      </c>
      <c r="D42" s="86">
        <f>D33+D35+D39</f>
        <v>9211</v>
      </c>
      <c r="E42" s="177" t="s">
        <v>379</v>
      </c>
      <c r="F42" s="178" t="s">
        <v>380</v>
      </c>
      <c r="G42" s="90">
        <f>G39+G33</f>
        <v>17224</v>
      </c>
      <c r="H42" s="90">
        <f>H39+H33</f>
        <v>9211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606">
        <f>2828-C39</f>
        <v>0</v>
      </c>
      <c r="C44" s="532" t="s">
        <v>382</v>
      </c>
      <c r="D44" s="610" t="s">
        <v>864</v>
      </c>
      <c r="E44" s="610"/>
      <c r="F44" s="610"/>
      <c r="G44" s="610"/>
      <c r="H44" s="61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99">
        <v>39871</v>
      </c>
      <c r="C45" s="531"/>
      <c r="D45" s="531"/>
      <c r="E45" s="530"/>
      <c r="F45" s="605">
        <f>D39-5634</f>
        <v>0</v>
      </c>
      <c r="G45" s="534"/>
      <c r="H45" s="534"/>
    </row>
    <row r="46" spans="1:8" ht="12.75" customHeight="1">
      <c r="A46" s="31"/>
      <c r="B46" s="535"/>
      <c r="C46" s="533" t="s">
        <v>780</v>
      </c>
      <c r="D46" s="611" t="s">
        <v>865</v>
      </c>
      <c r="E46" s="611"/>
      <c r="F46" s="611"/>
      <c r="G46" s="611"/>
      <c r="H46" s="61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3" t="s">
        <v>780</v>
      </c>
      <c r="D48" s="531" t="s">
        <v>866</v>
      </c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384</v>
      </c>
      <c r="B4" s="533" t="str">
        <f>'справка №1-БАЛАНС'!E3</f>
        <v>ХОЛДИНГ " ВАРНА " АД</v>
      </c>
      <c r="C4" s="397" t="s">
        <v>2</v>
      </c>
      <c r="D4" s="353">
        <f>'справка №1-БАЛАНС'!H3</f>
        <v>103249584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КОНСОЛИДИРАН</v>
      </c>
      <c r="C5" s="398" t="s">
        <v>4</v>
      </c>
      <c r="D5" s="353">
        <f>'справка №1-БАЛАНС'!H4</f>
        <v>17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01.01.2008Г.-31.12.2008Г. 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11884</v>
      </c>
      <c r="D10" s="92">
        <v>5336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-7213</v>
      </c>
      <c r="D11" s="92">
        <v>-1021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-650</v>
      </c>
      <c r="D13" s="92">
        <v>-520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-1160</v>
      </c>
      <c r="D14" s="92">
        <v>-242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>
        <v>-6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206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-129</v>
      </c>
      <c r="D19" s="92">
        <v>53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2938</v>
      </c>
      <c r="D20" s="93">
        <f>SUM(D10:D19)</f>
        <v>3600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-4354</v>
      </c>
      <c r="D22" s="92">
        <v>-2609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41</v>
      </c>
      <c r="D23" s="92">
        <v>126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>
        <v>-13281</v>
      </c>
      <c r="D24" s="92">
        <v>-11233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>
        <v>11761</v>
      </c>
      <c r="D25" s="92">
        <v>4074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>
        <v>177</v>
      </c>
      <c r="D26" s="92">
        <v>110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>
        <f>-116837+-71</f>
        <v>-116908</v>
      </c>
      <c r="D27" s="92">
        <v>-28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>
        <v>3309</v>
      </c>
      <c r="D28" s="92">
        <v>21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>
        <v>59</v>
      </c>
      <c r="D29" s="92">
        <v>367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>
        <f>7+4+-21+-3</f>
        <v>-13</v>
      </c>
      <c r="D31" s="92">
        <v>-1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-119209</v>
      </c>
      <c r="D32" s="93">
        <f>SUM(D22:D31)</f>
        <v>-9173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>
        <f>68999+-10</f>
        <v>68989</v>
      </c>
      <c r="D34" s="92">
        <f>49481+-33</f>
        <v>49448</v>
      </c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28053</v>
      </c>
      <c r="D36" s="92">
        <v>7705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f>-2934+-14238</f>
        <v>-17172</v>
      </c>
      <c r="D37" s="92">
        <v>-6455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-2229</v>
      </c>
      <c r="D39" s="92">
        <v>-1811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>
        <v>-2</v>
      </c>
      <c r="D40" s="92">
        <v>-6</v>
      </c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f>-38+-151</f>
        <v>-189</v>
      </c>
      <c r="D41" s="92">
        <f>-2+-1</f>
        <v>-3</v>
      </c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77450</v>
      </c>
      <c r="D42" s="93">
        <f>SUM(D34:D41)</f>
        <v>48878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-38821</v>
      </c>
      <c r="D43" s="93">
        <f>D42+D32+D20</f>
        <v>43305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43748</v>
      </c>
      <c r="D44" s="184">
        <v>443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4927</v>
      </c>
      <c r="D45" s="93">
        <f>D44+D43</f>
        <v>43748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867</v>
      </c>
      <c r="C50" s="613"/>
      <c r="D50" s="61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862</v>
      </c>
      <c r="C52" s="613"/>
      <c r="D52" s="613"/>
      <c r="G52" s="186"/>
      <c r="H52" s="186"/>
    </row>
    <row r="53" spans="1:8" ht="12">
      <c r="A53" s="546"/>
      <c r="B53" s="544" t="s">
        <v>868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460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6" t="str">
        <f>'справка №1-БАЛАНС'!E3</f>
        <v>ХОЛДИНГ " ВАРНА " АД</v>
      </c>
      <c r="D3" s="617"/>
      <c r="E3" s="617"/>
      <c r="F3" s="617"/>
      <c r="G3" s="617"/>
      <c r="H3" s="573"/>
      <c r="I3" s="573"/>
      <c r="J3" s="2"/>
      <c r="K3" s="572" t="s">
        <v>2</v>
      </c>
      <c r="L3" s="572"/>
      <c r="M3" s="591">
        <f>'справка №1-БАЛАНС'!H3</f>
        <v>103249584</v>
      </c>
      <c r="N3" s="3"/>
    </row>
    <row r="4" spans="1:15" s="5" customFormat="1" ht="13.5" customHeight="1">
      <c r="A4" s="6" t="s">
        <v>461</v>
      </c>
      <c r="B4" s="573"/>
      <c r="C4" s="616" t="str">
        <f>'справка №1-БАЛАНС'!E4</f>
        <v>КОНСОЛИДИРАН</v>
      </c>
      <c r="D4" s="616"/>
      <c r="E4" s="618"/>
      <c r="F4" s="616"/>
      <c r="G4" s="616"/>
      <c r="H4" s="533"/>
      <c r="I4" s="533"/>
      <c r="J4" s="593"/>
      <c r="K4" s="581" t="s">
        <v>4</v>
      </c>
      <c r="L4" s="581"/>
      <c r="M4" s="592">
        <f>'справка №1-БАЛАНС'!H4</f>
        <v>17</v>
      </c>
      <c r="N4" s="7"/>
      <c r="O4" s="8"/>
    </row>
    <row r="5" spans="1:14" s="5" customFormat="1" ht="12.75" customHeight="1">
      <c r="A5" s="6" t="s">
        <v>5</v>
      </c>
      <c r="B5" s="571"/>
      <c r="C5" s="616" t="str">
        <f>'справка №1-БАЛАНС'!E5</f>
        <v>01.01.2008Г.-31.12.2008Г. </v>
      </c>
      <c r="D5" s="617"/>
      <c r="E5" s="617"/>
      <c r="F5" s="617"/>
      <c r="G5" s="617"/>
      <c r="H5" s="573"/>
      <c r="I5" s="573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2100</v>
      </c>
      <c r="D11" s="96">
        <f>'справка №1-БАЛАНС'!H19</f>
        <v>48425</v>
      </c>
      <c r="E11" s="96">
        <f>'справка №1-БАЛАНС'!H20</f>
        <v>-40</v>
      </c>
      <c r="F11" s="96">
        <f>'справка №1-БАЛАНС'!H22</f>
        <v>104</v>
      </c>
      <c r="G11" s="96">
        <f>'справка №1-БАЛАНС'!H23</f>
        <v>0</v>
      </c>
      <c r="H11" s="98">
        <f>'справка №1-БАЛАНС'!H24</f>
        <v>1152</v>
      </c>
      <c r="I11" s="96">
        <f>'справка №1-БАЛАНС'!H28+'справка №1-БАЛАНС'!H31</f>
        <v>17799</v>
      </c>
      <c r="J11" s="96">
        <f>'справка №1-БАЛАНС'!H29+'справка №1-БАЛАНС'!H32</f>
        <v>0</v>
      </c>
      <c r="K11" s="98"/>
      <c r="L11" s="424">
        <f>SUM(C11:K11)</f>
        <v>69540</v>
      </c>
      <c r="M11" s="96">
        <f>'справка №1-БАЛАНС'!H39</f>
        <v>1120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>
        <v>0</v>
      </c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2100</v>
      </c>
      <c r="D15" s="99">
        <f aca="true" t="shared" si="2" ref="D15:M15">D11+D12</f>
        <v>48425</v>
      </c>
      <c r="E15" s="99">
        <f t="shared" si="2"/>
        <v>-40</v>
      </c>
      <c r="F15" s="99">
        <f t="shared" si="2"/>
        <v>104</v>
      </c>
      <c r="G15" s="99">
        <f t="shared" si="2"/>
        <v>0</v>
      </c>
      <c r="H15" s="99">
        <f t="shared" si="2"/>
        <v>1152</v>
      </c>
      <c r="I15" s="99">
        <f t="shared" si="2"/>
        <v>17799</v>
      </c>
      <c r="J15" s="99">
        <f t="shared" si="2"/>
        <v>0</v>
      </c>
      <c r="K15" s="99">
        <f t="shared" si="2"/>
        <v>0</v>
      </c>
      <c r="L15" s="424">
        <f t="shared" si="1"/>
        <v>69540</v>
      </c>
      <c r="M15" s="99">
        <f t="shared" si="2"/>
        <v>1120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2710</v>
      </c>
      <c r="J16" s="425">
        <f>+'справка №1-БАЛАНС'!G32</f>
        <v>0</v>
      </c>
      <c r="K16" s="98"/>
      <c r="L16" s="424">
        <f t="shared" si="1"/>
        <v>2710</v>
      </c>
      <c r="M16" s="98">
        <v>118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112</v>
      </c>
      <c r="G17" s="100">
        <f t="shared" si="3"/>
        <v>0</v>
      </c>
      <c r="H17" s="100">
        <f t="shared" si="3"/>
        <v>24</v>
      </c>
      <c r="I17" s="100">
        <f t="shared" si="3"/>
        <v>-136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>
        <v>112</v>
      </c>
      <c r="G19" s="98"/>
      <c r="H19" s="98">
        <v>24</v>
      </c>
      <c r="I19" s="98">
        <f>-26+-110</f>
        <v>-136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>
        <v>0</v>
      </c>
      <c r="F23" s="239"/>
      <c r="G23" s="239"/>
      <c r="H23" s="239">
        <v>0</v>
      </c>
      <c r="I23" s="239"/>
      <c r="J23" s="239"/>
      <c r="K23" s="239"/>
      <c r="L23" s="424">
        <f t="shared" si="1"/>
        <v>0</v>
      </c>
      <c r="M23" s="239">
        <v>0</v>
      </c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-2817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-2817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>
        <v>2817</v>
      </c>
      <c r="F26" s="239"/>
      <c r="G26" s="239"/>
      <c r="H26" s="239"/>
      <c r="I26" s="239"/>
      <c r="J26" s="239"/>
      <c r="K26" s="239"/>
      <c r="L26" s="424">
        <f t="shared" si="1"/>
        <v>2817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>
        <v>3136</v>
      </c>
      <c r="D28" s="98">
        <v>64818</v>
      </c>
      <c r="E28" s="98">
        <v>0</v>
      </c>
      <c r="F28" s="98"/>
      <c r="G28" s="98"/>
      <c r="H28" s="98">
        <v>-192</v>
      </c>
      <c r="I28" s="98"/>
      <c r="J28" s="98"/>
      <c r="K28" s="98"/>
      <c r="L28" s="424">
        <f t="shared" si="1"/>
        <v>67762</v>
      </c>
      <c r="M28" s="98">
        <v>-133</v>
      </c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5236</v>
      </c>
      <c r="D29" s="97">
        <f aca="true" t="shared" si="6" ref="D29:M29">D17+D20+D21+D24+D28+D27+D15+D16</f>
        <v>113243</v>
      </c>
      <c r="E29" s="97">
        <f t="shared" si="6"/>
        <v>-2857</v>
      </c>
      <c r="F29" s="97">
        <f t="shared" si="6"/>
        <v>216</v>
      </c>
      <c r="G29" s="97">
        <f t="shared" si="6"/>
        <v>0</v>
      </c>
      <c r="H29" s="97">
        <f t="shared" si="6"/>
        <v>984</v>
      </c>
      <c r="I29" s="97">
        <f t="shared" si="6"/>
        <v>20373</v>
      </c>
      <c r="J29" s="97">
        <f t="shared" si="6"/>
        <v>0</v>
      </c>
      <c r="K29" s="97">
        <f t="shared" si="6"/>
        <v>0</v>
      </c>
      <c r="L29" s="424">
        <f t="shared" si="1"/>
        <v>137195</v>
      </c>
      <c r="M29" s="97">
        <f t="shared" si="6"/>
        <v>1105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5236</v>
      </c>
      <c r="D32" s="97">
        <f t="shared" si="7"/>
        <v>113243</v>
      </c>
      <c r="E32" s="97">
        <f t="shared" si="7"/>
        <v>-2857</v>
      </c>
      <c r="F32" s="97">
        <f t="shared" si="7"/>
        <v>216</v>
      </c>
      <c r="G32" s="97">
        <f t="shared" si="7"/>
        <v>0</v>
      </c>
      <c r="H32" s="97">
        <f t="shared" si="7"/>
        <v>984</v>
      </c>
      <c r="I32" s="97">
        <f t="shared" si="7"/>
        <v>20373</v>
      </c>
      <c r="J32" s="97">
        <f t="shared" si="7"/>
        <v>0</v>
      </c>
      <c r="K32" s="97">
        <f t="shared" si="7"/>
        <v>0</v>
      </c>
      <c r="L32" s="424">
        <f t="shared" si="1"/>
        <v>137195</v>
      </c>
      <c r="M32" s="97">
        <f>M29+M30+M31</f>
        <v>1105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885</v>
      </c>
      <c r="B35" s="37"/>
      <c r="C35" s="24"/>
      <c r="D35" s="615" t="s">
        <v>867</v>
      </c>
      <c r="E35" s="615"/>
      <c r="F35" s="615"/>
      <c r="G35" s="615"/>
      <c r="H35" s="615"/>
      <c r="I35" s="615"/>
      <c r="J35" s="24" t="s">
        <v>869</v>
      </c>
      <c r="K35" s="24"/>
      <c r="L35" s="615"/>
      <c r="M35" s="61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24" t="s">
        <v>870</v>
      </c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4" t="s">
        <v>384</v>
      </c>
      <c r="B2" s="625"/>
      <c r="C2" s="584"/>
      <c r="D2" s="584"/>
      <c r="E2" s="616" t="str">
        <f>'справка №1-БАЛАНС'!E3</f>
        <v>ХОЛДИНГ " ВАРНА " АД</v>
      </c>
      <c r="F2" s="600"/>
      <c r="G2" s="600"/>
      <c r="H2" s="584"/>
      <c r="I2" s="441"/>
      <c r="J2" s="441"/>
      <c r="K2" s="441"/>
      <c r="L2" s="441"/>
      <c r="M2" s="619" t="s">
        <v>2</v>
      </c>
      <c r="N2" s="620"/>
      <c r="O2" s="620"/>
      <c r="P2" s="621">
        <f>'справка №1-БАЛАНС'!H3</f>
        <v>103249584</v>
      </c>
      <c r="Q2" s="621"/>
      <c r="R2" s="353"/>
    </row>
    <row r="3" spans="1:18" ht="15">
      <c r="A3" s="624" t="s">
        <v>5</v>
      </c>
      <c r="B3" s="625"/>
      <c r="C3" s="585"/>
      <c r="D3" s="585"/>
      <c r="E3" s="616" t="str">
        <f>'справка №1-БАЛАНС'!E5</f>
        <v>01.01.2008Г.-31.12.2008Г. </v>
      </c>
      <c r="F3" s="601"/>
      <c r="G3" s="601"/>
      <c r="H3" s="443"/>
      <c r="I3" s="443"/>
      <c r="J3" s="443"/>
      <c r="K3" s="443"/>
      <c r="L3" s="443"/>
      <c r="M3" s="622" t="s">
        <v>4</v>
      </c>
      <c r="N3" s="622"/>
      <c r="O3" s="576"/>
      <c r="P3" s="623">
        <f>'справка №1-БАЛАНС'!H4</f>
        <v>17</v>
      </c>
      <c r="Q3" s="623"/>
      <c r="R3" s="354"/>
    </row>
    <row r="4" spans="1:18" ht="12.75">
      <c r="A4" s="436" t="s">
        <v>523</v>
      </c>
      <c r="B4" s="442"/>
      <c r="C4" s="442"/>
      <c r="D4" s="443"/>
      <c r="E4" s="602"/>
      <c r="F4" s="603"/>
      <c r="G4" s="60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04" t="s">
        <v>464</v>
      </c>
      <c r="B5" s="626"/>
      <c r="C5" s="629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32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32" t="s">
        <v>529</v>
      </c>
      <c r="R5" s="632" t="s">
        <v>530</v>
      </c>
    </row>
    <row r="6" spans="1:18" s="44" customFormat="1" ht="48">
      <c r="A6" s="627"/>
      <c r="B6" s="628"/>
      <c r="C6" s="630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33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33"/>
      <c r="R6" s="633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4409</v>
      </c>
      <c r="E9" s="243">
        <v>1326</v>
      </c>
      <c r="F9" s="243">
        <v>338</v>
      </c>
      <c r="G9" s="113">
        <f>D9+E9-F9</f>
        <v>5397</v>
      </c>
      <c r="H9" s="103"/>
      <c r="I9" s="103"/>
      <c r="J9" s="113">
        <f>G9+H9-I9</f>
        <v>5397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5397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2218</v>
      </c>
      <c r="E10" s="243">
        <v>649</v>
      </c>
      <c r="F10" s="243">
        <v>180</v>
      </c>
      <c r="G10" s="113">
        <f aca="true" t="shared" si="2" ref="G10:G39">D10+E10-F10</f>
        <v>2687</v>
      </c>
      <c r="H10" s="103"/>
      <c r="I10" s="103"/>
      <c r="J10" s="113">
        <f aca="true" t="shared" si="3" ref="J10:J39">G10+H10-I10</f>
        <v>2687</v>
      </c>
      <c r="K10" s="103">
        <v>380</v>
      </c>
      <c r="L10" s="103">
        <v>54</v>
      </c>
      <c r="M10" s="103">
        <v>53</v>
      </c>
      <c r="N10" s="113">
        <f aca="true" t="shared" si="4" ref="N10:N39">K10+L10-M10</f>
        <v>381</v>
      </c>
      <c r="O10" s="103"/>
      <c r="P10" s="103"/>
      <c r="Q10" s="113">
        <f t="shared" si="0"/>
        <v>381</v>
      </c>
      <c r="R10" s="113">
        <f t="shared" si="1"/>
        <v>2306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817</v>
      </c>
      <c r="E11" s="243">
        <v>53</v>
      </c>
      <c r="F11" s="243">
        <v>105</v>
      </c>
      <c r="G11" s="113">
        <f t="shared" si="2"/>
        <v>765</v>
      </c>
      <c r="H11" s="103"/>
      <c r="I11" s="103"/>
      <c r="J11" s="113">
        <f t="shared" si="3"/>
        <v>765</v>
      </c>
      <c r="K11" s="103">
        <v>546</v>
      </c>
      <c r="L11" s="103">
        <v>36</v>
      </c>
      <c r="M11" s="103">
        <v>76</v>
      </c>
      <c r="N11" s="113">
        <f t="shared" si="4"/>
        <v>506</v>
      </c>
      <c r="O11" s="103"/>
      <c r="P11" s="103"/>
      <c r="Q11" s="113">
        <f t="shared" si="0"/>
        <v>506</v>
      </c>
      <c r="R11" s="113">
        <f t="shared" si="1"/>
        <v>259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0</v>
      </c>
      <c r="E12" s="243">
        <v>0</v>
      </c>
      <c r="F12" s="243">
        <v>0</v>
      </c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118</v>
      </c>
      <c r="E13" s="243">
        <v>204</v>
      </c>
      <c r="F13" s="243">
        <v>1</v>
      </c>
      <c r="G13" s="113">
        <f t="shared" si="2"/>
        <v>321</v>
      </c>
      <c r="H13" s="103"/>
      <c r="I13" s="103"/>
      <c r="J13" s="113">
        <f t="shared" si="3"/>
        <v>321</v>
      </c>
      <c r="K13" s="103">
        <v>89</v>
      </c>
      <c r="L13" s="103">
        <v>24</v>
      </c>
      <c r="M13" s="103">
        <v>1</v>
      </c>
      <c r="N13" s="113">
        <f t="shared" si="4"/>
        <v>112</v>
      </c>
      <c r="O13" s="103"/>
      <c r="P13" s="103"/>
      <c r="Q13" s="113">
        <f t="shared" si="0"/>
        <v>112</v>
      </c>
      <c r="R13" s="113">
        <f t="shared" si="1"/>
        <v>209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83</v>
      </c>
      <c r="E14" s="243">
        <v>21</v>
      </c>
      <c r="F14" s="243">
        <v>0</v>
      </c>
      <c r="G14" s="113">
        <f t="shared" si="2"/>
        <v>104</v>
      </c>
      <c r="H14" s="103"/>
      <c r="I14" s="103"/>
      <c r="J14" s="113">
        <f t="shared" si="3"/>
        <v>104</v>
      </c>
      <c r="K14" s="103">
        <v>69</v>
      </c>
      <c r="L14" s="103">
        <v>8</v>
      </c>
      <c r="M14" s="103"/>
      <c r="N14" s="113">
        <f t="shared" si="4"/>
        <v>77</v>
      </c>
      <c r="O14" s="103"/>
      <c r="P14" s="103"/>
      <c r="Q14" s="113">
        <f t="shared" si="0"/>
        <v>77</v>
      </c>
      <c r="R14" s="113">
        <f t="shared" si="1"/>
        <v>27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853</v>
      </c>
      <c r="B15" s="466" t="s">
        <v>854</v>
      </c>
      <c r="C15" s="563" t="s">
        <v>855</v>
      </c>
      <c r="D15" s="564">
        <v>198</v>
      </c>
      <c r="E15" s="564">
        <v>3669</v>
      </c>
      <c r="F15" s="564">
        <v>2258</v>
      </c>
      <c r="G15" s="113">
        <f t="shared" si="2"/>
        <v>1609</v>
      </c>
      <c r="H15" s="565"/>
      <c r="I15" s="565"/>
      <c r="J15" s="113">
        <f t="shared" si="3"/>
        <v>1609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1609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561</v>
      </c>
      <c r="B16" s="247" t="s">
        <v>562</v>
      </c>
      <c r="C16" s="459" t="s">
        <v>563</v>
      </c>
      <c r="D16" s="243">
        <v>85</v>
      </c>
      <c r="E16" s="243">
        <v>146</v>
      </c>
      <c r="F16" s="243">
        <v>2</v>
      </c>
      <c r="G16" s="113">
        <f t="shared" si="2"/>
        <v>229</v>
      </c>
      <c r="H16" s="103"/>
      <c r="I16" s="103"/>
      <c r="J16" s="113">
        <f t="shared" si="3"/>
        <v>229</v>
      </c>
      <c r="K16" s="103">
        <v>27</v>
      </c>
      <c r="L16" s="103">
        <v>25</v>
      </c>
      <c r="M16" s="103">
        <v>2</v>
      </c>
      <c r="N16" s="113">
        <f t="shared" si="4"/>
        <v>50</v>
      </c>
      <c r="O16" s="103"/>
      <c r="P16" s="103"/>
      <c r="Q16" s="113">
        <f aca="true" t="shared" si="5" ref="Q16:Q25">N16+O16-P16</f>
        <v>50</v>
      </c>
      <c r="R16" s="113">
        <f aca="true" t="shared" si="6" ref="R16:R25">J16-Q16</f>
        <v>179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7928</v>
      </c>
      <c r="E17" s="248">
        <f>SUM(E9:E16)</f>
        <v>6068</v>
      </c>
      <c r="F17" s="248">
        <f>SUM(F9:F16)</f>
        <v>2884</v>
      </c>
      <c r="G17" s="113">
        <f t="shared" si="2"/>
        <v>11112</v>
      </c>
      <c r="H17" s="114">
        <f>SUM(H9:H16)</f>
        <v>0</v>
      </c>
      <c r="I17" s="114">
        <f>SUM(I9:I16)</f>
        <v>0</v>
      </c>
      <c r="J17" s="113">
        <f t="shared" si="3"/>
        <v>11112</v>
      </c>
      <c r="K17" s="114">
        <f>SUM(K9:K16)</f>
        <v>1111</v>
      </c>
      <c r="L17" s="114">
        <f>SUM(L9:L16)</f>
        <v>147</v>
      </c>
      <c r="M17" s="114">
        <f>SUM(M9:M16)</f>
        <v>132</v>
      </c>
      <c r="N17" s="113">
        <f t="shared" si="4"/>
        <v>1126</v>
      </c>
      <c r="O17" s="114">
        <f>SUM(O9:O16)</f>
        <v>0</v>
      </c>
      <c r="P17" s="114">
        <f>SUM(P9:P16)</f>
        <v>0</v>
      </c>
      <c r="Q17" s="113">
        <f t="shared" si="5"/>
        <v>1126</v>
      </c>
      <c r="R17" s="113">
        <f t="shared" si="6"/>
        <v>9986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>
        <v>135</v>
      </c>
      <c r="E18" s="241"/>
      <c r="F18" s="241">
        <v>135</v>
      </c>
      <c r="G18" s="113">
        <f t="shared" si="2"/>
        <v>0</v>
      </c>
      <c r="H18" s="101"/>
      <c r="I18" s="101"/>
      <c r="J18" s="113">
        <f t="shared" si="3"/>
        <v>0</v>
      </c>
      <c r="K18" s="101">
        <v>62</v>
      </c>
      <c r="L18" s="101"/>
      <c r="M18" s="101">
        <v>62</v>
      </c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10</v>
      </c>
      <c r="E22" s="243">
        <v>73</v>
      </c>
      <c r="F22" s="243"/>
      <c r="G22" s="113">
        <f t="shared" si="2"/>
        <v>83</v>
      </c>
      <c r="H22" s="103"/>
      <c r="I22" s="103"/>
      <c r="J22" s="113">
        <f t="shared" si="3"/>
        <v>83</v>
      </c>
      <c r="K22" s="103">
        <v>8</v>
      </c>
      <c r="L22" s="103">
        <v>4</v>
      </c>
      <c r="M22" s="103"/>
      <c r="N22" s="113">
        <f t="shared" si="4"/>
        <v>12</v>
      </c>
      <c r="O22" s="103"/>
      <c r="P22" s="103"/>
      <c r="Q22" s="113">
        <f t="shared" si="5"/>
        <v>12</v>
      </c>
      <c r="R22" s="113">
        <f t="shared" si="6"/>
        <v>71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12</v>
      </c>
      <c r="E24" s="243">
        <v>1</v>
      </c>
      <c r="F24" s="243"/>
      <c r="G24" s="113">
        <f t="shared" si="2"/>
        <v>13</v>
      </c>
      <c r="H24" s="103"/>
      <c r="I24" s="103"/>
      <c r="J24" s="113">
        <f t="shared" si="3"/>
        <v>13</v>
      </c>
      <c r="K24" s="103">
        <v>12</v>
      </c>
      <c r="L24" s="103"/>
      <c r="M24" s="103"/>
      <c r="N24" s="113">
        <f t="shared" si="4"/>
        <v>12</v>
      </c>
      <c r="O24" s="103"/>
      <c r="P24" s="103"/>
      <c r="Q24" s="113">
        <f t="shared" si="5"/>
        <v>12</v>
      </c>
      <c r="R24" s="113">
        <f t="shared" si="6"/>
        <v>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582</v>
      </c>
      <c r="D25" s="244">
        <f>SUM(D21:D24)</f>
        <v>22</v>
      </c>
      <c r="E25" s="244">
        <f aca="true" t="shared" si="7" ref="E25:P25">SUM(E21:E24)</f>
        <v>74</v>
      </c>
      <c r="F25" s="244">
        <f t="shared" si="7"/>
        <v>0</v>
      </c>
      <c r="G25" s="105">
        <f t="shared" si="2"/>
        <v>96</v>
      </c>
      <c r="H25" s="104">
        <f t="shared" si="7"/>
        <v>0</v>
      </c>
      <c r="I25" s="104">
        <f t="shared" si="7"/>
        <v>0</v>
      </c>
      <c r="J25" s="105">
        <f t="shared" si="3"/>
        <v>96</v>
      </c>
      <c r="K25" s="104">
        <f t="shared" si="7"/>
        <v>20</v>
      </c>
      <c r="L25" s="104">
        <f t="shared" si="7"/>
        <v>4</v>
      </c>
      <c r="M25" s="104">
        <f t="shared" si="7"/>
        <v>0</v>
      </c>
      <c r="N25" s="105">
        <f t="shared" si="4"/>
        <v>24</v>
      </c>
      <c r="O25" s="104">
        <f t="shared" si="7"/>
        <v>0</v>
      </c>
      <c r="P25" s="104">
        <f t="shared" si="7"/>
        <v>0</v>
      </c>
      <c r="Q25" s="105">
        <f t="shared" si="5"/>
        <v>24</v>
      </c>
      <c r="R25" s="105">
        <f t="shared" si="6"/>
        <v>72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850</v>
      </c>
      <c r="C27" s="472" t="s">
        <v>585</v>
      </c>
      <c r="D27" s="246">
        <f>SUM(D28:D31)</f>
        <v>5748</v>
      </c>
      <c r="E27" s="246">
        <f aca="true" t="shared" si="8" ref="E27:P27">SUM(E28:E31)</f>
        <v>38</v>
      </c>
      <c r="F27" s="246">
        <f t="shared" si="8"/>
        <v>1283</v>
      </c>
      <c r="G27" s="110">
        <f t="shared" si="2"/>
        <v>4503</v>
      </c>
      <c r="H27" s="109">
        <f t="shared" si="8"/>
        <v>52</v>
      </c>
      <c r="I27" s="109">
        <f t="shared" si="8"/>
        <v>2775</v>
      </c>
      <c r="J27" s="110">
        <f t="shared" si="3"/>
        <v>1780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1780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1374</v>
      </c>
      <c r="E30" s="243"/>
      <c r="F30" s="243">
        <v>1283</v>
      </c>
      <c r="G30" s="113">
        <f t="shared" si="2"/>
        <v>91</v>
      </c>
      <c r="H30" s="111">
        <v>52</v>
      </c>
      <c r="I30" s="111"/>
      <c r="J30" s="113">
        <f t="shared" si="3"/>
        <v>143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143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4374</v>
      </c>
      <c r="E31" s="243">
        <v>38</v>
      </c>
      <c r="F31" s="243"/>
      <c r="G31" s="113">
        <f t="shared" si="2"/>
        <v>4412</v>
      </c>
      <c r="H31" s="111"/>
      <c r="I31" s="111">
        <v>2775</v>
      </c>
      <c r="J31" s="113">
        <f t="shared" si="3"/>
        <v>1637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1637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601</v>
      </c>
      <c r="D38" s="248">
        <f>D27+D32+D37</f>
        <v>5748</v>
      </c>
      <c r="E38" s="248">
        <f aca="true" t="shared" si="12" ref="E38:P38">E27+E32+E37</f>
        <v>38</v>
      </c>
      <c r="F38" s="248">
        <f t="shared" si="12"/>
        <v>1283</v>
      </c>
      <c r="G38" s="113">
        <f t="shared" si="2"/>
        <v>4503</v>
      </c>
      <c r="H38" s="114">
        <f t="shared" si="12"/>
        <v>52</v>
      </c>
      <c r="I38" s="114">
        <f t="shared" si="12"/>
        <v>2775</v>
      </c>
      <c r="J38" s="113">
        <f t="shared" si="3"/>
        <v>1780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1780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13833</v>
      </c>
      <c r="E40" s="547">
        <f>E17+E18+E19+E25+E38+E39</f>
        <v>6180</v>
      </c>
      <c r="F40" s="547">
        <f aca="true" t="shared" si="13" ref="F40:R40">F17+F18+F19+F25+F38+F39</f>
        <v>4302</v>
      </c>
      <c r="G40" s="547">
        <f t="shared" si="13"/>
        <v>15711</v>
      </c>
      <c r="H40" s="547">
        <f t="shared" si="13"/>
        <v>52</v>
      </c>
      <c r="I40" s="547">
        <f t="shared" si="13"/>
        <v>2775</v>
      </c>
      <c r="J40" s="547">
        <f t="shared" si="13"/>
        <v>12988</v>
      </c>
      <c r="K40" s="547">
        <f t="shared" si="13"/>
        <v>1193</v>
      </c>
      <c r="L40" s="547">
        <f t="shared" si="13"/>
        <v>151</v>
      </c>
      <c r="M40" s="547">
        <f t="shared" si="13"/>
        <v>194</v>
      </c>
      <c r="N40" s="547">
        <f t="shared" si="13"/>
        <v>1150</v>
      </c>
      <c r="O40" s="547">
        <f t="shared" si="13"/>
        <v>0</v>
      </c>
      <c r="P40" s="547">
        <f t="shared" si="13"/>
        <v>0</v>
      </c>
      <c r="Q40" s="547">
        <f t="shared" si="13"/>
        <v>1150</v>
      </c>
      <c r="R40" s="547">
        <f t="shared" si="13"/>
        <v>11838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884</v>
      </c>
      <c r="C44" s="445"/>
      <c r="D44" s="446"/>
      <c r="E44" s="446"/>
      <c r="F44" s="446"/>
      <c r="G44" s="436"/>
      <c r="H44" s="447" t="s">
        <v>871</v>
      </c>
      <c r="I44" s="447"/>
      <c r="J44" s="447"/>
      <c r="K44" s="631"/>
      <c r="L44" s="631"/>
      <c r="M44" s="631"/>
      <c r="N44" s="631"/>
      <c r="O44" s="620" t="s">
        <v>862</v>
      </c>
      <c r="P44" s="625"/>
      <c r="Q44" s="625"/>
      <c r="R44" s="62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620" t="s">
        <v>868</v>
      </c>
      <c r="P45" s="625"/>
      <c r="Q45" s="625"/>
      <c r="R45" s="625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7">
    <mergeCell ref="O45:R45"/>
    <mergeCell ref="E4:G4"/>
    <mergeCell ref="A5:B6"/>
    <mergeCell ref="C5:C6"/>
    <mergeCell ref="K44:N44"/>
    <mergeCell ref="O44:R44"/>
    <mergeCell ref="Q5:Q6"/>
    <mergeCell ref="R5:R6"/>
    <mergeCell ref="J5:J6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608</v>
      </c>
      <c r="B1" s="637"/>
      <c r="C1" s="637"/>
      <c r="D1" s="637"/>
      <c r="E1" s="637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ХОЛДИНГ " ВАРНА " АД</v>
      </c>
      <c r="B3" s="638"/>
      <c r="C3" s="353" t="s">
        <v>2</v>
      </c>
      <c r="E3" s="353">
        <f>'справка №1-БАЛАНС'!H3</f>
        <v>103249584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01.01.2008Г.-31.12.2008Г. </v>
      </c>
      <c r="B4" s="639"/>
      <c r="C4" s="354" t="s">
        <v>4</v>
      </c>
      <c r="D4" s="354"/>
      <c r="E4" s="353">
        <f>'справка №1-БАЛАНС'!H4</f>
        <v>17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>
        <v>21</v>
      </c>
      <c r="D21" s="153">
        <v>0</v>
      </c>
      <c r="E21" s="166">
        <f t="shared" si="0"/>
        <v>21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59927</v>
      </c>
      <c r="D24" s="165">
        <f>SUM(D25:D27)</f>
        <v>59927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f>5365</f>
        <v>5365</v>
      </c>
      <c r="D25" s="153">
        <v>5365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>
        <v>54562</v>
      </c>
      <c r="D27" s="153">
        <v>54562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1265</v>
      </c>
      <c r="D28" s="153">
        <v>1265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68682</v>
      </c>
      <c r="D29" s="153">
        <v>68682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>
        <v>24909</v>
      </c>
      <c r="D30" s="153">
        <v>24909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150</v>
      </c>
      <c r="D31" s="153">
        <v>150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496</v>
      </c>
      <c r="D33" s="150">
        <f>SUM(D34:D37)</f>
        <v>496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>
        <v>9</v>
      </c>
      <c r="D34" s="153">
        <v>9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487</v>
      </c>
      <c r="D35" s="153">
        <v>487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141</v>
      </c>
      <c r="D38" s="150">
        <f>SUM(D39:D42)</f>
        <v>141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f>54+37+8+42</f>
        <v>141</v>
      </c>
      <c r="D42" s="153">
        <v>141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155570</v>
      </c>
      <c r="D43" s="149">
        <f>D24+D28+D29+D31+D30+D32+D33+D38</f>
        <v>155570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155591</v>
      </c>
      <c r="D44" s="148">
        <f>D43+D21+D19+D9</f>
        <v>155570</v>
      </c>
      <c r="E44" s="164">
        <f>E43+E21+E19+E9</f>
        <v>21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2102</v>
      </c>
      <c r="D56" s="148">
        <f>D57+D59</f>
        <v>0</v>
      </c>
      <c r="E56" s="165">
        <f t="shared" si="1"/>
        <v>2102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>
        <v>2102</v>
      </c>
      <c r="D57" s="153"/>
      <c r="E57" s="165">
        <f t="shared" si="1"/>
        <v>2102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>
        <v>15577</v>
      </c>
      <c r="D63" s="153"/>
      <c r="E63" s="165">
        <f t="shared" si="1"/>
        <v>15577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>
        <v>14</v>
      </c>
      <c r="D64" s="153"/>
      <c r="E64" s="165">
        <f t="shared" si="1"/>
        <v>14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>
        <v>14</v>
      </c>
      <c r="D65" s="154"/>
      <c r="E65" s="165">
        <f t="shared" si="1"/>
        <v>14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17693</v>
      </c>
      <c r="D66" s="148">
        <f>D52+D56+D61+D62+D63+D64</f>
        <v>0</v>
      </c>
      <c r="E66" s="165">
        <f t="shared" si="1"/>
        <v>17693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967</v>
      </c>
      <c r="D68" s="153"/>
      <c r="E68" s="165">
        <f t="shared" si="1"/>
        <v>967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2818</v>
      </c>
      <c r="D71" s="150">
        <f>SUM(D72:D74)</f>
        <v>2818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>
        <v>93</v>
      </c>
      <c r="D73" s="153">
        <v>93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2725</v>
      </c>
      <c r="D74" s="153">
        <v>2725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9791</v>
      </c>
      <c r="D75" s="148">
        <f>D76+D78</f>
        <v>9791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9791</v>
      </c>
      <c r="D76" s="153">
        <v>9791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4623</v>
      </c>
      <c r="D80" s="148">
        <f>SUM(D81:D84)</f>
        <v>4623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>
        <f>317+3893</f>
        <v>4210</v>
      </c>
      <c r="D82" s="153">
        <v>4210</v>
      </c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>
        <v>401</v>
      </c>
      <c r="D83" s="153">
        <v>401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>
        <v>12</v>
      </c>
      <c r="D84" s="153">
        <v>12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9420</v>
      </c>
      <c r="D85" s="149">
        <f>SUM(D86:D90)+D94</f>
        <v>9420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>
        <f>40+52</f>
        <v>92</v>
      </c>
      <c r="D86" s="153">
        <v>92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1125</v>
      </c>
      <c r="D87" s="153">
        <v>1125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7897</v>
      </c>
      <c r="D88" s="153">
        <v>7897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205</v>
      </c>
      <c r="D89" s="153">
        <v>205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101</v>
      </c>
      <c r="D90" s="148">
        <f>SUM(D91:D93)</f>
        <v>101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>
        <v>87</v>
      </c>
      <c r="D91" s="153">
        <v>87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>
        <v>6</v>
      </c>
      <c r="D92" s="153">
        <v>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8</v>
      </c>
      <c r="D93" s="153">
        <v>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9</v>
      </c>
      <c r="D95" s="153">
        <v>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26661</v>
      </c>
      <c r="D96" s="149">
        <f>D85+D80+D75+D71+D95</f>
        <v>26661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45321</v>
      </c>
      <c r="D97" s="149">
        <f>D96+D68+D66</f>
        <v>26661</v>
      </c>
      <c r="E97" s="149">
        <f>E96+E68+E66</f>
        <v>18660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779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">
        <v>882</v>
      </c>
      <c r="B109" s="635"/>
      <c r="C109" s="635" t="s">
        <v>872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4" t="s">
        <v>873</v>
      </c>
      <c r="D111" s="634"/>
      <c r="E111" s="634"/>
      <c r="F111" s="634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634" t="s">
        <v>874</v>
      </c>
      <c r="D113" s="634"/>
      <c r="E113" s="634"/>
      <c r="F113" s="6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3:F113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7"/>
      <c r="C4" s="616" t="str">
        <f>'справка №1-БАЛАНС'!E3</f>
        <v>ХОЛДИНГ " ВАРНА " АД</v>
      </c>
      <c r="D4" s="601"/>
      <c r="E4" s="601"/>
      <c r="F4" s="577"/>
      <c r="G4" s="579" t="s">
        <v>2</v>
      </c>
      <c r="H4" s="579"/>
      <c r="I4" s="588">
        <f>'справка №1-БАЛАНС'!H3</f>
        <v>103249584</v>
      </c>
    </row>
    <row r="5" spans="1:9" ht="15">
      <c r="A5" s="522" t="s">
        <v>5</v>
      </c>
      <c r="B5" s="578"/>
      <c r="C5" s="616" t="str">
        <f>'справка №1-БАЛАНС'!E5</f>
        <v>01.01.2008Г.-31.12.2008Г. </v>
      </c>
      <c r="D5" s="642"/>
      <c r="E5" s="642"/>
      <c r="F5" s="578"/>
      <c r="G5" s="354" t="s">
        <v>4</v>
      </c>
      <c r="H5" s="580"/>
      <c r="I5" s="587">
        <f>'справка №1-БАЛАНС'!H4</f>
        <v>17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464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793</v>
      </c>
      <c r="B12" s="132" t="s">
        <v>794</v>
      </c>
      <c r="C12" s="141">
        <f>628101+38000</f>
        <v>666101</v>
      </c>
      <c r="D12" s="141"/>
      <c r="E12" s="141"/>
      <c r="F12" s="141">
        <f>4305+143+83</f>
        <v>4531</v>
      </c>
      <c r="G12" s="141"/>
      <c r="H12" s="141">
        <v>2775</v>
      </c>
      <c r="I12" s="541">
        <f>F12+G12-H12</f>
        <v>1756</v>
      </c>
    </row>
    <row r="13" spans="1:9" s="115" customFormat="1" ht="12">
      <c r="A13" s="117" t="s">
        <v>795</v>
      </c>
      <c r="B13" s="132" t="s">
        <v>796</v>
      </c>
      <c r="C13" s="141">
        <v>0</v>
      </c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>
        <f>15+64+5</f>
        <v>84</v>
      </c>
      <c r="D16" s="141"/>
      <c r="E16" s="141"/>
      <c r="F16" s="141">
        <v>8</v>
      </c>
      <c r="G16" s="141"/>
      <c r="H16" s="141">
        <v>8</v>
      </c>
      <c r="I16" s="541">
        <f t="shared" si="0"/>
        <v>0</v>
      </c>
    </row>
    <row r="17" spans="1:9" s="115" customFormat="1" ht="12">
      <c r="A17" s="133" t="s">
        <v>564</v>
      </c>
      <c r="B17" s="134" t="s">
        <v>801</v>
      </c>
      <c r="C17" s="127">
        <f aca="true" t="shared" si="1" ref="C17:H17">C12+C13+C15+C16</f>
        <v>666185</v>
      </c>
      <c r="D17" s="127">
        <f t="shared" si="1"/>
        <v>0</v>
      </c>
      <c r="E17" s="127">
        <f t="shared" si="1"/>
        <v>0</v>
      </c>
      <c r="F17" s="127">
        <f t="shared" si="1"/>
        <v>4539</v>
      </c>
      <c r="G17" s="127">
        <f t="shared" si="1"/>
        <v>0</v>
      </c>
      <c r="H17" s="127">
        <f t="shared" si="1"/>
        <v>2783</v>
      </c>
      <c r="I17" s="541">
        <f t="shared" si="0"/>
        <v>1756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>
        <v>465404</v>
      </c>
      <c r="D19" s="141"/>
      <c r="E19" s="141"/>
      <c r="F19" s="141">
        <v>10717</v>
      </c>
      <c r="G19" s="141"/>
      <c r="H19" s="141"/>
      <c r="I19" s="541">
        <f t="shared" si="0"/>
        <v>10717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816</v>
      </c>
      <c r="C26" s="127">
        <f aca="true" t="shared" si="2" ref="C26:H26">SUM(C19:C25)</f>
        <v>465404</v>
      </c>
      <c r="D26" s="127">
        <f t="shared" si="2"/>
        <v>0</v>
      </c>
      <c r="E26" s="127">
        <f t="shared" si="2"/>
        <v>0</v>
      </c>
      <c r="F26" s="127">
        <f t="shared" si="2"/>
        <v>10717</v>
      </c>
      <c r="G26" s="127">
        <f t="shared" si="2"/>
        <v>0</v>
      </c>
      <c r="H26" s="127">
        <f t="shared" si="2"/>
        <v>0</v>
      </c>
      <c r="I26" s="541">
        <f t="shared" si="0"/>
        <v>10717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41"/>
      <c r="C30" s="641"/>
      <c r="D30" s="567" t="s">
        <v>867</v>
      </c>
      <c r="E30" s="640"/>
      <c r="F30" s="640"/>
      <c r="G30" s="640"/>
      <c r="H30" s="519" t="s">
        <v>780</v>
      </c>
      <c r="I30" s="640" t="s">
        <v>875</v>
      </c>
      <c r="J30" s="640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9" t="s">
        <v>780</v>
      </c>
      <c r="I32" s="510" t="s">
        <v>876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36">
      <selection activeCell="E67" sqref="E67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16" t="str">
        <f>'справка №1-БАЛАНС'!E3</f>
        <v>ХОЛДИНГ " ВАРНА " АД</v>
      </c>
      <c r="C5" s="600"/>
      <c r="D5" s="586"/>
      <c r="E5" s="353" t="s">
        <v>2</v>
      </c>
      <c r="F5" s="589">
        <f>'справка №1-БАЛАНС'!H3</f>
        <v>103249584</v>
      </c>
    </row>
    <row r="6" spans="1:13" ht="15" customHeight="1">
      <c r="A6" s="54" t="s">
        <v>820</v>
      </c>
      <c r="B6" s="616" t="str">
        <f>'справка №1-БАЛАНС'!E5</f>
        <v>01.01.2008Г.-31.12.2008Г. </v>
      </c>
      <c r="C6" s="642"/>
      <c r="D6" s="55"/>
      <c r="E6" s="354" t="s">
        <v>4</v>
      </c>
      <c r="F6" s="590">
        <f>'справка №1-БАЛАНС'!H4</f>
        <v>17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2"/>
      <c r="C7" s="644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829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0"/>
    </row>
    <row r="46" spans="1:6" ht="12.75">
      <c r="A46" s="66" t="s">
        <v>857</v>
      </c>
      <c r="B46" s="70"/>
      <c r="C46" s="549">
        <v>143</v>
      </c>
      <c r="D46" s="549">
        <v>1.95</v>
      </c>
      <c r="E46" s="549">
        <v>143</v>
      </c>
      <c r="F46" s="551">
        <f>C46-E46</f>
        <v>0</v>
      </c>
    </row>
    <row r="47" spans="1:6" ht="12.75">
      <c r="A47" s="66" t="s">
        <v>829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834</v>
      </c>
      <c r="C61" s="536">
        <f>SUM(C46:C60)</f>
        <v>143</v>
      </c>
      <c r="D61" s="536"/>
      <c r="E61" s="536">
        <f>SUM(E46:E60)</f>
        <v>143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0"/>
    </row>
    <row r="63" spans="1:6" ht="12.75">
      <c r="A63" s="66" t="s">
        <v>859</v>
      </c>
      <c r="B63" s="70"/>
      <c r="C63" s="549">
        <v>12</v>
      </c>
      <c r="D63" s="549"/>
      <c r="E63" s="549">
        <v>0</v>
      </c>
      <c r="F63" s="551">
        <f>C63-E63</f>
        <v>12</v>
      </c>
    </row>
    <row r="64" spans="1:6" ht="12.75">
      <c r="A64" s="66" t="s">
        <v>858</v>
      </c>
      <c r="B64" s="70"/>
      <c r="C64" s="549">
        <v>1530</v>
      </c>
      <c r="D64" s="549"/>
      <c r="E64" s="549">
        <v>1530</v>
      </c>
      <c r="F64" s="551">
        <f aca="true" t="shared" si="3" ref="F64:F77">C64-E64</f>
        <v>0</v>
      </c>
    </row>
    <row r="65" spans="1:6" ht="12.75">
      <c r="A65" s="66" t="s">
        <v>860</v>
      </c>
      <c r="B65" s="70"/>
      <c r="C65" s="549">
        <v>52</v>
      </c>
      <c r="D65" s="549"/>
      <c r="E65" s="549">
        <v>3</v>
      </c>
      <c r="F65" s="551">
        <f t="shared" si="3"/>
        <v>49</v>
      </c>
    </row>
    <row r="66" spans="1:6" ht="12.75">
      <c r="A66" s="66" t="s">
        <v>880</v>
      </c>
      <c r="B66" s="70"/>
      <c r="C66" s="549">
        <v>5</v>
      </c>
      <c r="D66" s="549"/>
      <c r="E66" s="549">
        <v>50</v>
      </c>
      <c r="F66" s="551">
        <f t="shared" si="3"/>
        <v>-45</v>
      </c>
    </row>
    <row r="67" spans="1:6" ht="12.75">
      <c r="A67" s="66" t="s">
        <v>881</v>
      </c>
      <c r="B67" s="67"/>
      <c r="C67" s="549">
        <v>38</v>
      </c>
      <c r="D67" s="549"/>
      <c r="E67" s="549"/>
      <c r="F67" s="551">
        <f t="shared" si="3"/>
        <v>38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1637</v>
      </c>
      <c r="D78" s="536"/>
      <c r="E78" s="536">
        <f>SUM(E63:E77)</f>
        <v>1583</v>
      </c>
      <c r="F78" s="550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1780</v>
      </c>
      <c r="D79" s="536"/>
      <c r="E79" s="536">
        <f>E78+E61+E44+E27</f>
        <v>1726</v>
      </c>
      <c r="F79" s="550">
        <f>F78+F61+F44+F27</f>
        <v>54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0"/>
    </row>
    <row r="81" spans="1:6" ht="14.25" customHeight="1">
      <c r="A81" s="66" t="s">
        <v>827</v>
      </c>
      <c r="B81" s="70"/>
      <c r="C81" s="536"/>
      <c r="D81" s="536"/>
      <c r="E81" s="536"/>
      <c r="F81" s="550"/>
    </row>
    <row r="82" spans="1:6" ht="12.75">
      <c r="A82" s="66" t="s">
        <v>828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829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882</v>
      </c>
      <c r="B151" s="560"/>
      <c r="C151" s="643" t="s">
        <v>877</v>
      </c>
      <c r="D151" s="643"/>
      <c r="E151" s="643"/>
      <c r="F151" s="643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3" t="s">
        <v>873</v>
      </c>
      <c r="D153" s="643"/>
      <c r="E153" s="643"/>
      <c r="F153" s="643"/>
    </row>
    <row r="154" spans="3:5" ht="12.75">
      <c r="C154" s="75"/>
      <c r="E154" s="75"/>
    </row>
    <row r="155" spans="3:6" ht="12.75">
      <c r="C155" s="643" t="s">
        <v>878</v>
      </c>
      <c r="D155" s="643"/>
      <c r="E155" s="643"/>
      <c r="F155" s="643"/>
    </row>
  </sheetData>
  <sheetProtection/>
  <mergeCells count="6">
    <mergeCell ref="C155:F155"/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2009-02-27T21:16:37Z</cp:lastPrinted>
  <dcterms:created xsi:type="dcterms:W3CDTF">2000-06-29T12:02:40Z</dcterms:created>
  <dcterms:modified xsi:type="dcterms:W3CDTF">2009-02-28T19:23:00Z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