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<sst xmlns="http://schemas.openxmlformats.org/spreadsheetml/2006/main" count="4192" uniqueCount="976">
  <si>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</si>
  <si>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</si>
  <si>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</si>
  <si>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</si>
  <si>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</si>
  <si>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</si>
  <si>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</si>
  <si>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</si>
  <si>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</si>
  <si>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</si>
  <si>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</si>
  <si>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</si>
  <si>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</si>
  <si>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</si>
  <si>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</si>
  <si>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</si>
  <si>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</si>
  <si>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</si>
  <si>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</si>
  <si>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</si>
  <si>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</si>
  <si>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</si>
  <si>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</si>
  <si>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</si>
  <si>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</si>
  <si>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</si>
  <si>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</si>
  <si>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</si>
  <si>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</si>
  <si>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</si>
  <si>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</si>
  <si>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</si>
  <si>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</si>
  <si>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</si>
  <si>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</si>
  <si>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</si>
  <si>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</si>
  <si>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</si>
  <si>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</si>
  <si>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</si>
  <si>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</si>
  <si>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</si>
  <si>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</si>
  <si>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</si>
  <si>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</si>
  <si>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</si>
  <si>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</si>
  <si>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</si>
  <si>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</si>
  <si>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</si>
  <si>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</si>
  <si>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</si>
  <si>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</si>
  <si>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</si>
  <si>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</si>
  <si>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</si>
  <si>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</si>
  <si>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</si>
  <si>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</si>
  <si>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</si>
  <si>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</si>
  <si>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</si>
  <si>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</si>
  <si>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</si>
  <si>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</si>
  <si>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</si>
  <si>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</si>
  <si>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</si>
  <si>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</si>
  <si>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</si>
  <si>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</si>
  <si>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</si>
  <si>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</si>
  <si>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</si>
  <si>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</si>
  <si>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</si>
  <si>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</si>
  <si>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</si>
  <si>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</si>
  <si>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</si>
  <si>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</si>
  <si>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</si>
  <si>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</si>
  <si>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</si>
  <si>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</si>
  <si>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</si>
  <si>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</si>
  <si>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</si>
  <si>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</si>
  <si>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</si>
  <si>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</si>
  <si>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</si>
  <si>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</si>
  <si>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</si>
  <si>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</si>
  <si>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</si>
  <si>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</si>
  <si>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</si>
  <si>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</si>
  <si>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</si>
  <si>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</si>
  <si>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</si>
  <si>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</si>
  <si>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</si>
  <si>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</si>
  <si>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</si>
  <si>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</si>
  <si>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</si>
  <si>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</si>
  <si>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</si>
  <si>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</si>
  <si>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</si>
  <si>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</si>
  <si>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</si>
  <si>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</si>
  <si>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</si>
  <si>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</si>
  <si>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</si>
  <si>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</si>
  <si>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</si>
  <si>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</si>
  <si>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</si>
  <si>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</si>
  <si>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</si>
  <si>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</si>
  <si>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</si>
  <si>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</si>
  <si>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</si>
  <si>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</si>
  <si>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</si>
  <si>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</si>
  <si>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</si>
  <si>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</si>
  <si>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</si>
  <si>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</si>
  <si>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</si>
  <si>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</si>
  <si>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</si>
  <si>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</si>
  <si>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</si>
  <si>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</si>
  <si>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</si>
  <si>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</si>
  <si>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</si>
  <si>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</si>
  <si>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</si>
  <si>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</si>
  <si>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</si>
  <si>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</si>
  <si>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</si>
  <si>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</si>
  <si>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</si>
  <si>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</si>
  <si>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</si>
  <si>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</si>
  <si>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</si>
  <si>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</si>
  <si>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</si>
  <si>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</si>
  <si>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</si>
  <si>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</si>
  <si>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</si>
  <si>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</si>
  <si>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</si>
  <si>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</si>
  <si>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</si>
  <si>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</si>
  <si>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</si>
  <si>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</si>
  <si>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</si>
  <si>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</si>
  <si>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</si>
  <si>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</si>
  <si>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</si>
  <si>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</si>
  <si>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</si>
  <si>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</si>
  <si>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</si>
  <si>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</si>
  <si>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</si>
  <si>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</si>
  <si>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</si>
  <si>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</si>
  <si>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</si>
  <si>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</si>
  <si>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</si>
  <si>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</si>
  <si>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</si>
  <si>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</si>
  <si>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</si>
  <si>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</si>
  <si>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</si>
  <si>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</si>
  <si>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</si>
  <si>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</si>
  <si>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</si>
  <si>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</si>
  <si>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</si>
  <si>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</si>
  <si>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</si>
  <si>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</si>
  <si>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</si>
  <si>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</si>
  <si>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</si>
  <si>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</si>
  <si>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</si>
  <si>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</si>
  <si>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</si>
  <si>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</si>
  <si>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</si>
  <si>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</si>
  <si>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</si>
  <si>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</si>
  <si>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</si>
  <si>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</si>
  <si>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</si>
  <si>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</si>
  <si>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</si>
  <si>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</si>
  <si>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</si>
  <si>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</si>
  <si>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</si>
  <si>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</si>
  <si>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</si>
  <si>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</si>
  <si>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</si>
  <si>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</si>
  <si>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</si>
  <si>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</si>
  <si>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</si>
  <si>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</si>
  <si>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</si>
  <si>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</si>
  <si>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</si>
  <si>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</si>
  <si>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</si>
  <si>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</si>
  <si>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</si>
  <si>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</si>
  <si>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</si>
  <si>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</si>
  <si>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</si>
  <si>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</si>
  <si>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</si>
  <si>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</si>
  <si>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</si>
  <si>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</si>
  <si>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</si>
  <si>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</si>
  <si>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</si>
  <si>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</si>
  <si>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</si>
  <si>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</si>
  <si>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</si>
  <si>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</si>
  <si>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</si>
  <si>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</si>
  <si>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</si>
  <si>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</si>
  <si>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</si>
  <si>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</si>
  <si>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</si>
  <si>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</si>
  <si>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</si>
  <si>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</si>
  <si>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</si>
  <si>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</si>
  <si>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</si>
  <si>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</si>
  <si>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</si>
  <si>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</si>
  <si>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</si>
  <si>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</si>
  <si>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</si>
  <si>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</si>
  <si>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</si>
  <si>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</si>
  <si>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</si>
  <si>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</si>
  <si>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</si>
  <si>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</si>
  <si>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</si>
  <si>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</si>
  <si>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</si>
  <si>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</si>
  <si>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</si>
  <si>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</si>
  <si>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</si>
  <si>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</si>
  <si>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</si>
  <si>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</si>
  <si>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</si>
  <si>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</si>
  <si>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</si>
  <si>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</si>
  <si>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</si>
  <si>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</si>
  <si>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</si>
  <si>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</si>
  <si>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</si>
  <si>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</si>
  <si>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</si>
  <si>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</si>
  <si>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</si>
  <si>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</si>
  <si>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</si>
  <si>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</si>
  <si>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</si>
  <si>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</si>
  <si>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</si>
  <si>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</si>
  <si>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</si>
  <si>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</si>
  <si>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</si>
  <si>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</si>
  <si>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</si>
  <si>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</si>
  <si>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</si>
  <si>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</si>
  <si>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</si>
  <si>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</si>
  <si>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</si>
  <si>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</si>
  <si>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</si>
  <si>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</si>
  <si>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</si>
  <si>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</si>
  <si>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</si>
  <si>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</si>
  <si>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</si>
  <si>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</si>
  <si>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</si>
  <si>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</si>
  <si>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</si>
  <si>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</si>
  <si>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</si>
  <si>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</si>
  <si>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</si>
  <si>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</si>
  <si>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</si>
  <si>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</si>
  <si>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</si>
  <si>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</si>
  <si>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</si>
  <si>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</si>
  <si>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</si>
  <si>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</si>
  <si>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</si>
  <si>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</si>
  <si>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</si>
  <si>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</si>
  <si>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</si>
  <si>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</si>
  <si>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</si>
  <si>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</si>
  <si>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</si>
  <si>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</si>
  <si>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</si>
  <si>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</si>
  <si>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</si>
  <si>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</si>
  <si>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</si>
  <si>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</si>
  <si>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</si>
  <si>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</si>
  <si>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</si>
  <si>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</si>
  <si>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</si>
  <si>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</si>
  <si>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</si>
  <si>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</si>
  <si>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</si>
  <si>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</si>
  <si>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</si>
  <si>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</si>
  <si>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</si>
  <si>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</si>
  <si>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</si>
  <si>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</si>
  <si>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</si>
  <si>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</si>
  <si>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</si>
  <si>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</si>
  <si>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</si>
  <si>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</si>
  <si>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</si>
  <si>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</si>
  <si>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</si>
  <si>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</si>
  <si>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</si>
  <si>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</si>
  <si>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</si>
  <si>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</si>
  <si>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</si>
  <si>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</si>
  <si>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</si>
  <si>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</si>
  <si>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</si>
  <si>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</si>
  <si>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</si>
  <si>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</si>
  <si>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</si>
  <si>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</si>
  <si>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</si>
  <si>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</si>
  <si>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</si>
  <si>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</si>
  <si>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</si>
  <si>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</si>
  <si>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</si>
  <si>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</si>
  <si>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</si>
  <si>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</si>
  <si>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</si>
  <si>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</si>
  <si>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</si>
  <si>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</si>
  <si>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</si>
  <si>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</si>
  <si>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</si>
  <si>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</si>
  <si>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</si>
  <si>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</si>
  <si>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</si>
  <si>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</si>
  <si>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</si>
  <si>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</si>
  <si>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</si>
  <si>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</si>
  <si>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</si>
  <si>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</si>
  <si>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</si>
  <si>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</si>
  <si>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</si>
  <si>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</si>
  <si>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</si>
  <si>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</si>
  <si>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</si>
  <si>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</si>
  <si>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</si>
  <si>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</si>
  <si>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</si>
  <si>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</si>
  <si>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</si>
  <si>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</si>
  <si>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</si>
  <si>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</si>
  <si>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</si>
  <si>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</si>
  <si>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</si>
  <si>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</si>
  <si>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</si>
  <si>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</si>
  <si>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</si>
  <si>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</si>
  <si>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</si>
  <si>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</si>
  <si>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</si>
  <si>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</si>
  <si>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</si>
  <si>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</si>
  <si>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</si>
  <si>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</si>
  <si>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</si>
  <si>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</si>
  <si>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</si>
  <si>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</si>
  <si>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</si>
  <si>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</si>
  <si>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</si>
  <si>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</si>
  <si>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</si>
  <si>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</si>
  <si>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</si>
  <si>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</si>
  <si>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</si>
  <si>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</si>
  <si>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</si>
  <si>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</si>
  <si>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</si>
  <si>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</si>
  <si>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</si>
  <si>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</si>
  <si>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</si>
  <si>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</si>
  <si>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</si>
  <si>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</si>
  <si>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</si>
  <si>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</si>
  <si>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</si>
  <si>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</si>
  <si>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</si>
  <si>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</si>
  <si>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</si>
  <si>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</si>
  <si>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</si>
  <si>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</si>
  <si>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</si>
  <si>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</si>
  <si>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</si>
  <si>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</si>
  <si>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</si>
  <si>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</si>
  <si>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</si>
  <si>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</si>
  <si>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</si>
  <si>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</si>
  <si>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</si>
  <si>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</si>
  <si>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</si>
  <si>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</si>
  <si>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</si>
  <si>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</si>
  <si>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</si>
  <si>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</si>
  <si>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</si>
  <si>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</si>
  <si>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</si>
  <si>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</si>
  <si>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</si>
  <si>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</si>
  <si>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</si>
  <si>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</si>
  <si>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</si>
  <si>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</si>
  <si>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</si>
  <si>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</si>
  <si>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</si>
  <si>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</si>
  <si>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</si>
  <si>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</si>
  <si>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</si>
  <si>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</si>
  <si>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</si>
  <si>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</si>
  <si>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</si>
  <si>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</si>
  <si>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</si>
  <si>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</si>
  <si>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</si>
  <si>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</si>
  <si>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</si>
  <si>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</si>
  <si>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</si>
  <si>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</si>
  <si>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</si>
  <si>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</si>
  <si>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</si>
  <si>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</si>
  <si>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</si>
  <si>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</si>
  <si>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</si>
  <si>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</si>
  <si>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</si>
  <si>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</si>
  <si>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</si>
  <si>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</si>
  <si>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</si>
  <si>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</si>
  <si>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</si>
  <si>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</si>
  <si>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</si>
  <si>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</si>
  <si>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</si>
  <si>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</si>
  <si>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</si>
  <si>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</si>
  <si>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</si>
  <si>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</si>
  <si>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</si>
  <si>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</si>
  <si>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</si>
  <si>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</si>
  <si>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</si>
  <si>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</si>
  <si>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</si>
  <si>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</si>
  <si>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</si>
  <si>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</si>
  <si>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</si>
  <si>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</si>
  <si>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</si>
  <si>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</si>
  <si>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</si>
  <si>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</si>
  <si>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</si>
  <si>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</si>
  <si>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</si>
  <si>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</si>
  <si>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</si>
  <si>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</si>
  <si>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</si>
  <si>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</si>
  <si>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</si>
  <si>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</si>
  <si>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</si>
  <si>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</si>
  <si>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</si>
  <si>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</si>
  <si>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</si>
  <si>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</si>
  <si>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</si>
  <si>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</si>
  <si>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</si>
  <si>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</si>
  <si>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</si>
  <si>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</si>
  <si>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</si>
  <si>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</si>
  <si>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</si>
  <si>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</si>
  <si>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</si>
  <si>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</si>
  <si>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</si>
  <si>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</si>
  <si>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</si>
  <si>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</si>
  <si>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</si>
  <si>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</si>
  <si>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</si>
  <si>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</si>
  <si>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</si>
  <si>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</si>
  <si>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</si>
  <si>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</si>
  <si>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</si>
  <si>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</si>
  <si>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</si>
  <si>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</si>
  <si>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</si>
  <si>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</si>
  <si>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</si>
  <si>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</si>
  <si>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</si>
  <si>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</si>
  <si>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</si>
  <si>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</si>
  <si>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</si>
  <si>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</si>
  <si>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</si>
  <si>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</si>
  <si>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</si>
  <si>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</si>
  <si>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</si>
  <si>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</si>
  <si>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</si>
  <si>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</si>
  <si>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</si>
  <si>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</si>
  <si>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</si>
  <si>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</si>
  <si>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</si>
  <si>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</si>
  <si>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</si>
  <si>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</si>
  <si>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</si>
  <si>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</si>
  <si>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</si>
  <si>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</si>
  <si>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</si>
  <si>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</si>
  <si>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</si>
  <si>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</si>
  <si>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</si>
  <si>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</si>
  <si>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</si>
  <si>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</si>
  <si>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</si>
  <si>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</si>
  <si>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</si>
  <si>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</si>
  <si>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</si>
  <si>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</si>
  <si>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</si>
  <si>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</si>
  <si>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</si>
  <si>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</si>
  <si>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</si>
  <si>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</si>
  <si>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</si>
  <si>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</si>
  <si>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</si>
  <si>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</si>
  <si>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</si>
  <si>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</si>
  <si>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</si>
  <si>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</si>
  <si>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</si>
  <si>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</si>
  <si>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</si>
  <si>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</si>
  <si>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</si>
  <si>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</si>
  <si>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</si>
  <si>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</si>
  <si>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</si>
  <si>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</si>
  <si>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</si>
  <si>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</si>
  <si>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</si>
  <si>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</si>
  <si>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</si>
  <si>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</si>
  <si>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</si>
  <si>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</si>
  <si>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</si>
  <si>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</si>
  <si>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</si>
  <si>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</si>
  <si>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</si>
  <si>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</si>
  <si>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</si>
  <si>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</si>
  <si>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</si>
  <si>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</si>
  <si>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</si>
  <si>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</si>
  <si>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</si>
  <si>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</si>
  <si>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</si>
  <si>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</si>
  <si>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</si>
  <si>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</si>
  <si>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</si>
  <si>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</si>
  <si>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</si>
  <si>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</si>
  <si>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</si>
  <si>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</si>
  <si>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</si>
  <si>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</si>
  <si>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</si>
  <si>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</si>
  <si>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</si>
  <si>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</si>
  <si>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</si>
  <si>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</si>
  <si>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</si>
  <si>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</si>
  <si>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</si>
  <si>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</si>
  <si>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</si>
  <si>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</si>
  <si>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</si>
  <si>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</si>
  <si>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</si>
  <si>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</si>
  <si>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</si>
  <si>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</si>
  <si>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</si>
  <si>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</si>
  <si>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</si>
  <si>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</si>
  <si>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</si>
  <si>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</si>
  <si>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</si>
  <si>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</si>
  <si>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</si>
  <si>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</si>
  <si>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</si>
  <si>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</si>
  <si>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</si>
  <si>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</si>
  <si>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</si>
  <si>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</si>
  <si>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</si>
  <si>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</si>
  <si>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</si>
  <si>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</si>
  <si>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</si>
  <si>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</si>
  <si>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</si>
  <si>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</si>
  <si>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</si>
  <si>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</si>
  <si>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</si>
  <si>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</si>
  <si>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</si>
  <si>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</si>
  <si>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</si>
  <si>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</si>
  <si>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</si>
  <si>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</si>
  <si>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</si>
  <si>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</si>
  <si>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</si>
  <si>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</si>
  <si>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</si>
  <si>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</si>
  <si>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</si>
  <si>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</si>
  <si>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</si>
  <si>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</si>
  <si>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</si>
  <si>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</si>
  <si>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</si>
  <si>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</si>
  <si>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</si>
  <si>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</si>
  <si>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</si>
  <si>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</si>
  <si>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</si>
  <si>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</si>
  <si>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</si>
  <si>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</si>
  <si>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</si>
  <si>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</si>
  <si>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</si>
  <si>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</si>
  <si>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</si>
  <si>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</si>
  <si>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</si>
  <si>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</si>
  <si>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</si>
  <si>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</si>
  <si>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</si>
  <si>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</si>
  <si>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</si>
  <si>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</si>
  <si>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</si>
  <si>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</si>
  <si>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</si>
  <si>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</si>
  <si>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</si>
  <si>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</si>
  <si>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</si>
  <si>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</si>
  <si>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</si>
  <si>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</si>
  <si>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</si>
  <si>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</si>
  <si>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</si>
  <si>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</si>
  <si>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</si>
  <si>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</si>
  <si>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</si>
  <si>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</si>
  <si>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</si>
  <si>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</si>
  <si>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</si>
  <si>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</si>
  <si>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</si>
  <si>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</si>
  <si>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</si>
  <si>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</si>
  <si>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</si>
  <si>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</si>
  <si>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</si>
  <si>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</si>
  <si>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</si>
  <si>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</si>
  <si>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</si>
  <si>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</si>
  <si>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</si>
  <si>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</si>
  <si>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</si>
  <si>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</si>
  <si>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</si>
  <si>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</si>
  <si>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</si>
  <si>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</si>
  <si>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</si>
  <si>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</si>
  <si>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</si>
  <si>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</si>
  <si>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</si>
  <si>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</si>
  <si>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</si>
  <si>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</si>
  <si>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</si>
  <si>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</si>
  <si>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</si>
  <si>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</si>
  <si>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</si>
  <si>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</si>
  <si>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</si>
  <si>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</si>
  <si>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</si>
  <si>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</si>
  <si>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</si>
  <si>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</si>
  <si>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</si>
  <si>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</si>
  <si>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</si>
  <si>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</si>
  <si>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</si>
  <si>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</si>
  <si>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</si>
  <si>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</si>
  <si>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</si>
  <si>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</si>
  <si>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</si>
  <si>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</si>
  <si>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</si>
  <si>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</si>
  <si>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</si>
  <si>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</si>
  <si>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</si>
  <si>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</si>
  <si>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</si>
  <si>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</si>
  <si>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</si>
  <si>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</si>
  <si>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</si>
  <si>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</si>
  <si>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</si>
  <si>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</si>
  <si>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</si>
  <si>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</si>
  <si>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</si>
  <si>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</si>
  <si>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</si>
  <si>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</si>
  <si>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</si>
  <si>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</si>
  <si>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</si>
  <si>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</si>
  <si>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</si>
  <si>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</si>
  <si>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</si>
  <si>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</si>
  <si>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</si>
  <si>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</si>
  <si>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</si>
  <si>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</si>
  <si>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</si>
  <si>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</si>
  <si>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</si>
  <si>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</si>
  <si>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</si>
  <si>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</si>
  <si>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</si>
  <si>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</si>
  <si>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</si>
  <si>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</si>
  <si>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</si>
  <si>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</si>
  <si>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</si>
  <si>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</si>
  <si>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</si>
  <si>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</si>
  <si>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</si>
  <si>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</si>
  <si>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</si>
  <si>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</si>
  <si>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</si>
  <si>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</si>
  <si>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</si>
  <si>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</si>
  <si>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</si>
  <si>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</si>
  <si>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</si>
  <si>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</si>
  <si>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</si>
  <si>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</si>
  <si>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</si>
  <si>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</si>
  <si>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</si>
  <si>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</si>
  <si>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</si>
  <si>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</si>
  <si>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</si>
  <si>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</si>
  <si>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</si>
  <si>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</si>
  <si>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</si>
  <si>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</si>
  <si>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</si>
  <si>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</si>
  <si>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</si>
  <si>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</si>
  <si>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</si>
  <si>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</si>
  <si>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гр. София, бул. "Петко Каравелов" №34, ет.5</t>
  </si>
  <si>
    <t>гр. София, ул. "Бяло поле" №3, ет.3, офис 10-11</t>
  </si>
  <si>
    <t>Инвестор.БГ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</si>
</sst>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43100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43159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Николай Димитров Колев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42736</v>
      </c>
    </row>
    <row r="10" spans="1:2" ht="15.75">
      <c r="A10" s="7" t="s">
        <v>2</v>
      </c>
      <c r="B10" s="546">
        <v>43100</v>
      </c>
    </row>
    <row r="11" spans="1:2" ht="15.75">
      <c r="A11" s="7" t="s">
        <v>950</v>
      </c>
      <c r="B11" s="546">
        <v>43159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973</v>
      </c>
    </row>
    <row r="20" spans="1:2" ht="15.75">
      <c r="A20" s="7" t="s">
        <v>5</v>
      </c>
      <c r="B20" s="545" t="s">
        <v>974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 t="s">
        <v>968</v>
      </c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975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60">
        <v>1</v>
      </c>
      <c r="B3" s="558" t="s">
        <v>859</v>
      </c>
      <c r="C3" s="559" t="s">
        <v>858</v>
      </c>
      <c r="D3" s="609">
        <f>(ABS('1-Баланс'!G32)-ABS('1-Баланс'!G33))/'2-Отчет за доходите'!G16</f>
        <v>-0.208125</v>
      </c>
      <c r="E3" s="613"/>
    </row>
    <row r="4" spans="1:4" ht="31.5">
      <c r="A4" s="560">
        <v>2</v>
      </c>
      <c r="B4" s="558" t="s">
        <v>885</v>
      </c>
      <c r="C4" s="559" t="s">
        <v>862</v>
      </c>
      <c r="D4" s="609">
        <f>(ABS('1-Баланс'!G32)-ABS('1-Баланс'!G33))/'1-Баланс'!G37</f>
        <v>0.7466367713004485</v>
      </c>
    </row>
    <row r="5" spans="1:4" ht="31.5">
      <c r="A5" s="560">
        <v>3</v>
      </c>
      <c r="B5" s="558" t="s">
        <v>863</v>
      </c>
      <c r="C5" s="559" t="s">
        <v>864</v>
      </c>
      <c r="D5" s="609">
        <f>(ABS('1-Баланс'!G32)-ABS('1-Баланс'!G33))/('1-Баланс'!G56+'1-Баланс'!G79)</f>
        <v>-0.08325</v>
      </c>
    </row>
    <row r="6" spans="1:4" ht="31.5">
      <c r="A6" s="560">
        <v>4</v>
      </c>
      <c r="B6" s="558" t="s">
        <v>886</v>
      </c>
      <c r="C6" s="559" t="s">
        <v>865</v>
      </c>
      <c r="D6" s="609">
        <f>(ABS('1-Баланс'!G32)-ABS('1-Баланс'!G33))/('1-Баланс'!C95)</f>
        <v>-0.09369724254361284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60">
        <v>5</v>
      </c>
      <c r="B8" s="558" t="s">
        <v>867</v>
      </c>
      <c r="C8" s="559" t="s">
        <v>868</v>
      </c>
      <c r="D8" s="608">
        <f>'2-Отчет за доходите'!G36/'2-Отчет за доходите'!C36</f>
        <v>0.8415328845157949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60">
        <v>6</v>
      </c>
      <c r="B10" s="558" t="s">
        <v>870</v>
      </c>
      <c r="C10" s="559" t="s">
        <v>871</v>
      </c>
      <c r="D10" s="608">
        <f>'1-Баланс'!C94/'1-Баланс'!G79</f>
        <v>0.4111111111111111</v>
      </c>
    </row>
    <row r="11" spans="1:4" ht="63">
      <c r="A11" s="560">
        <v>7</v>
      </c>
      <c r="B11" s="558" t="s">
        <v>872</v>
      </c>
      <c r="C11" s="559" t="s">
        <v>939</v>
      </c>
      <c r="D11" s="608">
        <f>('1-Баланс'!C76+'1-Баланс'!C85+'1-Баланс'!C92)/'1-Баланс'!G79</f>
        <v>0.18238482384823848</v>
      </c>
    </row>
    <row r="12" spans="1:4" ht="47.25">
      <c r="A12" s="560">
        <v>8</v>
      </c>
      <c r="B12" s="558" t="s">
        <v>873</v>
      </c>
      <c r="C12" s="559" t="s">
        <v>940</v>
      </c>
      <c r="D12" s="608">
        <f>('1-Баланс'!C85+'1-Баланс'!C92)/'1-Баланс'!G79</f>
        <v>0.0013550135501355014</v>
      </c>
    </row>
    <row r="13" spans="1:4" ht="31.5">
      <c r="A13" s="560">
        <v>9</v>
      </c>
      <c r="B13" s="558" t="s">
        <v>874</v>
      </c>
      <c r="C13" s="559" t="s">
        <v>875</v>
      </c>
      <c r="D13" s="608">
        <f>'1-Баланс'!C92/'1-Баланс'!G79</f>
        <v>0.0013550135501355014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60">
        <v>10</v>
      </c>
      <c r="B15" s="558" t="s">
        <v>890</v>
      </c>
      <c r="C15" s="559" t="s">
        <v>877</v>
      </c>
      <c r="D15" s="608">
        <f>'2-Отчет за доходите'!G16/('1-Баланс'!C20+'1-Баланс'!C21+'1-Баланс'!C22+'1-Баланс'!C28+'1-Баланс'!C65)</f>
        <v>0.612088752869166</v>
      </c>
    </row>
    <row r="16" spans="1:4" ht="31.5">
      <c r="A16" s="615">
        <v>11</v>
      </c>
      <c r="B16" s="558" t="s">
        <v>876</v>
      </c>
      <c r="C16" s="559" t="s">
        <v>889</v>
      </c>
      <c r="D16" s="616">
        <f>'2-Отчет за доходите'!G16/('1-Баланс'!C95)</f>
        <v>0.4501969611705121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60">
        <v>12</v>
      </c>
      <c r="B18" s="558" t="s">
        <v>906</v>
      </c>
      <c r="C18" s="559" t="s">
        <v>878</v>
      </c>
      <c r="D18" s="608">
        <f>'1-Баланс'!G56/('1-Баланс'!G37+'1-Баланс'!G56)</f>
        <v>-2.2794117647058822</v>
      </c>
    </row>
    <row r="19" spans="1:4" ht="31.5">
      <c r="A19" s="560">
        <v>13</v>
      </c>
      <c r="B19" s="558" t="s">
        <v>907</v>
      </c>
      <c r="C19" s="559" t="s">
        <v>880</v>
      </c>
      <c r="D19" s="608">
        <f>D4/D5</f>
        <v>-8.968609865470851</v>
      </c>
    </row>
    <row r="20" spans="1:4" ht="31.5">
      <c r="A20" s="560">
        <v>14</v>
      </c>
      <c r="B20" s="558" t="s">
        <v>881</v>
      </c>
      <c r="C20" s="559" t="s">
        <v>882</v>
      </c>
      <c r="D20" s="608">
        <f>D6/D5</f>
        <v>1.1254924029262803</v>
      </c>
    </row>
    <row r="21" spans="1:5" ht="15.7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164</v>
      </c>
      <c r="E21" s="663"/>
    </row>
    <row r="22" spans="1:4" ht="47.25">
      <c r="A22" s="560">
        <v>16</v>
      </c>
      <c r="B22" s="558" t="s">
        <v>887</v>
      </c>
      <c r="C22" s="559" t="s">
        <v>888</v>
      </c>
      <c r="D22" s="614">
        <f>D21/'1-Баланс'!G37</f>
        <v>-0.36771300448430494</v>
      </c>
    </row>
    <row r="23" spans="1:4" ht="31.5">
      <c r="A23" s="560">
        <v>17</v>
      </c>
      <c r="B23" s="558" t="s">
        <v>953</v>
      </c>
      <c r="C23" s="559" t="s">
        <v>954</v>
      </c>
      <c r="D23" s="614">
        <f>(D21+'2-Отчет за доходите'!C14)/'2-Отчет за доходите'!G31</f>
        <v>0.12492307692307693</v>
      </c>
    </row>
    <row r="24" spans="1:4" ht="31.5">
      <c r="A24" s="560">
        <v>18</v>
      </c>
      <c r="B24" s="558" t="s">
        <v>955</v>
      </c>
      <c r="C24" s="559" t="s">
        <v>956</v>
      </c>
      <c r="D24" s="614">
        <f>('1-Баланс'!G56+'1-Баланс'!G79)/(D21+'2-Отчет за доходите'!C14)</f>
        <v>19.704433497536947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49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49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727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49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49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49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49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49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49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347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49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1588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49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49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173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49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49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49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49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49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49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49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49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49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49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49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49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49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49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49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49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49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49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49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49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49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49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49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49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49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49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49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259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49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2037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49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180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49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110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49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76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49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476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49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49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49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842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49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486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49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143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49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39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49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49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49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49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49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49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668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49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49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49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49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49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49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49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49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49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49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49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49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49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49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1517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49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3554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49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49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49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49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49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49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49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49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49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210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49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409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49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49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409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49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49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619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49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-4132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49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793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49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-4925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49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49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49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-333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49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-4465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49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-446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49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49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49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49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49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49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49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49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49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49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49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55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49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244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49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310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49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1286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49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49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2396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49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221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49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816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49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804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49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145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49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49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126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49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251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49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49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49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3682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49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49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49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8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49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3690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49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3554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49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502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49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288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49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39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49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473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49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63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49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33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49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216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49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152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49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132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49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49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1766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49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164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49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49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49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1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49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165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49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1931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49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49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49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49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1931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49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49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27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49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49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27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49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49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49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49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49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1958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49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1557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49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49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49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49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1600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49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25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49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25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49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49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49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49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49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49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49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1625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49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306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49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49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49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1625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49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306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49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333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49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49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333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49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1958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49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1656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49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-1092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49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49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-471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49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-100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49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49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49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-22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49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49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9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49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-20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49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49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49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49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49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49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49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49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49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49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49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0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49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49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49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6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49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0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49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49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49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49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49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6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49">
        <f t="shared" si="20"/>
        <v>43100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-14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49">
        <f t="shared" si="20"/>
        <v>43100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19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49">
        <f t="shared" si="20"/>
        <v>43100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49">
        <f t="shared" si="20"/>
        <v>43100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5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49">
        <f t="shared" si="20"/>
        <v>43100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49">
        <f aca="true" t="shared" si="23" ref="C218:C281">endDate</f>
        <v>43100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49">
        <f t="shared" si="23"/>
        <v>43100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49">
        <f t="shared" si="23"/>
        <v>43100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49">
        <f t="shared" si="23"/>
        <v>43100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49">
        <f t="shared" si="23"/>
        <v>43100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49">
        <f t="shared" si="23"/>
        <v>43100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49">
        <f t="shared" si="23"/>
        <v>43100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49">
        <f t="shared" si="23"/>
        <v>43100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49">
        <f t="shared" si="23"/>
        <v>43100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49">
        <f t="shared" si="23"/>
        <v>43100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49">
        <f t="shared" si="23"/>
        <v>43100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49">
        <f t="shared" si="23"/>
        <v>43100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49">
        <f t="shared" si="23"/>
        <v>43100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49">
        <f t="shared" si="23"/>
        <v>43100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49">
        <f t="shared" si="23"/>
        <v>43100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49">
        <f t="shared" si="23"/>
        <v>43100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49">
        <f t="shared" si="23"/>
        <v>43100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49">
        <f t="shared" si="23"/>
        <v>43100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49">
        <f t="shared" si="23"/>
        <v>43100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49">
        <f t="shared" si="23"/>
        <v>43100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49">
        <f t="shared" si="23"/>
        <v>43100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49">
        <f t="shared" si="23"/>
        <v>43100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49">
        <f t="shared" si="23"/>
        <v>43100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49">
        <f t="shared" si="23"/>
        <v>43100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49">
        <f t="shared" si="23"/>
        <v>43100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49">
        <f t="shared" si="23"/>
        <v>43100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49">
        <f t="shared" si="23"/>
        <v>43100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49">
        <f t="shared" si="23"/>
        <v>43100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49">
        <f t="shared" si="23"/>
        <v>43100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49">
        <f t="shared" si="23"/>
        <v>43100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49">
        <f t="shared" si="23"/>
        <v>43100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49">
        <f t="shared" si="23"/>
        <v>43100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49">
        <f t="shared" si="23"/>
        <v>43100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49">
        <f t="shared" si="23"/>
        <v>43100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49">
        <f t="shared" si="23"/>
        <v>43100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49">
        <f t="shared" si="23"/>
        <v>43100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49">
        <f t="shared" si="23"/>
        <v>43100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49">
        <f t="shared" si="23"/>
        <v>43100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49">
        <f t="shared" si="23"/>
        <v>43100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49">
        <f t="shared" si="23"/>
        <v>43100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49">
        <f t="shared" si="23"/>
        <v>43100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49">
        <f t="shared" si="23"/>
        <v>43100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49">
        <f t="shared" si="23"/>
        <v>43100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49">
        <f t="shared" si="23"/>
        <v>43100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49">
        <f t="shared" si="23"/>
        <v>43100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214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49">
        <f t="shared" si="23"/>
        <v>43100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49">
        <f t="shared" si="23"/>
        <v>43100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49">
        <f t="shared" si="23"/>
        <v>43100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49">
        <f t="shared" si="23"/>
        <v>43100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214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49">
        <f t="shared" si="23"/>
        <v>43100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49">
        <f t="shared" si="23"/>
        <v>43100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49">
        <f t="shared" si="23"/>
        <v>43100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49">
        <f t="shared" si="23"/>
        <v>43100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49">
        <f t="shared" si="23"/>
        <v>43100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49">
        <f t="shared" si="23"/>
        <v>43100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49">
        <f t="shared" si="23"/>
        <v>43100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49">
        <f t="shared" si="23"/>
        <v>43100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49">
        <f t="shared" si="23"/>
        <v>43100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49">
        <f t="shared" si="23"/>
        <v>43100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49">
        <f t="shared" si="23"/>
        <v>43100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49">
        <f t="shared" si="23"/>
        <v>43100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49">
        <f t="shared" si="23"/>
        <v>43100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-4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49">
        <f t="shared" si="23"/>
        <v>43100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210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49">
        <f t="shared" si="23"/>
        <v>43100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49">
        <f aca="true" t="shared" si="26" ref="C282:C345">endDate</f>
        <v>43100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49">
        <f t="shared" si="26"/>
        <v>43100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210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49">
        <f t="shared" si="26"/>
        <v>43100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49">
        <f t="shared" si="26"/>
        <v>43100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49">
        <f t="shared" si="26"/>
        <v>43100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49">
        <f t="shared" si="26"/>
        <v>43100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49">
        <f t="shared" si="26"/>
        <v>43100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49">
        <f t="shared" si="26"/>
        <v>43100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49">
        <f t="shared" si="26"/>
        <v>43100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49">
        <f t="shared" si="26"/>
        <v>43100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49">
        <f t="shared" si="26"/>
        <v>43100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49">
        <f t="shared" si="26"/>
        <v>43100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49">
        <f t="shared" si="26"/>
        <v>43100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49">
        <f t="shared" si="26"/>
        <v>43100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49">
        <f t="shared" si="26"/>
        <v>43100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49">
        <f t="shared" si="26"/>
        <v>43100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49">
        <f t="shared" si="26"/>
        <v>43100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49">
        <f t="shared" si="26"/>
        <v>43100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49">
        <f t="shared" si="26"/>
        <v>43100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49">
        <f t="shared" si="26"/>
        <v>43100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49">
        <f t="shared" si="26"/>
        <v>43100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49">
        <f t="shared" si="26"/>
        <v>43100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49">
        <f t="shared" si="26"/>
        <v>43100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49">
        <f t="shared" si="26"/>
        <v>43100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49">
        <f t="shared" si="26"/>
        <v>43100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409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49">
        <f t="shared" si="26"/>
        <v>43100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49">
        <f t="shared" si="26"/>
        <v>43100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49">
        <f t="shared" si="26"/>
        <v>43100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49">
        <f t="shared" si="26"/>
        <v>43100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409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49">
        <f t="shared" si="26"/>
        <v>43100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49">
        <f t="shared" si="26"/>
        <v>43100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49">
        <f t="shared" si="26"/>
        <v>43100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49">
        <f t="shared" si="26"/>
        <v>43100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49">
        <f t="shared" si="26"/>
        <v>43100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49">
        <f t="shared" si="26"/>
        <v>43100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49">
        <f t="shared" si="26"/>
        <v>43100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49">
        <f t="shared" si="26"/>
        <v>43100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49">
        <f t="shared" si="26"/>
        <v>43100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49">
        <f t="shared" si="26"/>
        <v>43100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49">
        <f t="shared" si="26"/>
        <v>43100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49">
        <f t="shared" si="26"/>
        <v>43100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49">
        <f t="shared" si="26"/>
        <v>43100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49">
        <f t="shared" si="26"/>
        <v>43100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409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49">
        <f t="shared" si="26"/>
        <v>43100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49">
        <f t="shared" si="26"/>
        <v>43100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49">
        <f t="shared" si="26"/>
        <v>43100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409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49">
        <f t="shared" si="26"/>
        <v>43100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49">
        <f t="shared" si="26"/>
        <v>43100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49">
        <f t="shared" si="26"/>
        <v>43100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49">
        <f t="shared" si="26"/>
        <v>43100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49">
        <f t="shared" si="26"/>
        <v>43100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49">
        <f t="shared" si="26"/>
        <v>43100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49">
        <f t="shared" si="26"/>
        <v>43100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49">
        <f t="shared" si="26"/>
        <v>43100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49">
        <f t="shared" si="26"/>
        <v>43100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49">
        <f t="shared" si="26"/>
        <v>43100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49">
        <f t="shared" si="26"/>
        <v>43100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49">
        <f t="shared" si="26"/>
        <v>43100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49">
        <f t="shared" si="26"/>
        <v>43100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49">
        <f t="shared" si="26"/>
        <v>43100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49">
        <f t="shared" si="26"/>
        <v>43100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49">
        <f t="shared" si="26"/>
        <v>43100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49">
        <f t="shared" si="26"/>
        <v>43100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49">
        <f t="shared" si="26"/>
        <v>43100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49">
        <f aca="true" t="shared" si="29" ref="C346:C409">endDate</f>
        <v>43100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49">
        <f t="shared" si="29"/>
        <v>43100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49">
        <f t="shared" si="29"/>
        <v>43100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49">
        <f t="shared" si="29"/>
        <v>43100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49">
        <f t="shared" si="29"/>
        <v>43100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789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49">
        <f t="shared" si="29"/>
        <v>43100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49">
        <f t="shared" si="29"/>
        <v>43100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49">
        <f t="shared" si="29"/>
        <v>43100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49">
        <f t="shared" si="29"/>
        <v>43100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789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49">
        <f t="shared" si="29"/>
        <v>43100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49">
        <f t="shared" si="29"/>
        <v>43100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49">
        <f t="shared" si="29"/>
        <v>43100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49">
        <f t="shared" si="29"/>
        <v>43100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49">
        <f t="shared" si="29"/>
        <v>43100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49">
        <f t="shared" si="29"/>
        <v>43100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49">
        <f t="shared" si="29"/>
        <v>43100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49">
        <f t="shared" si="29"/>
        <v>43100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49">
        <f t="shared" si="29"/>
        <v>43100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49">
        <f t="shared" si="29"/>
        <v>43100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49">
        <f t="shared" si="29"/>
        <v>43100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49">
        <f t="shared" si="29"/>
        <v>43100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49">
        <f t="shared" si="29"/>
        <v>43100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4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49">
        <f t="shared" si="29"/>
        <v>43100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793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49">
        <f t="shared" si="29"/>
        <v>43100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49">
        <f t="shared" si="29"/>
        <v>43100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49">
        <f t="shared" si="29"/>
        <v>43100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793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49">
        <f t="shared" si="29"/>
        <v>43100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-4925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49">
        <f t="shared" si="29"/>
        <v>43100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49">
        <f t="shared" si="29"/>
        <v>43100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49">
        <f t="shared" si="29"/>
        <v>43100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49">
        <f t="shared" si="29"/>
        <v>43100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-4925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49">
        <f t="shared" si="29"/>
        <v>43100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-333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49">
        <f t="shared" si="29"/>
        <v>43100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49">
        <f t="shared" si="29"/>
        <v>43100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49">
        <f t="shared" si="29"/>
        <v>43100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49">
        <f t="shared" si="29"/>
        <v>43100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49">
        <f t="shared" si="29"/>
        <v>43100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49">
        <f t="shared" si="29"/>
        <v>43100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49">
        <f t="shared" si="29"/>
        <v>43100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49">
        <f t="shared" si="29"/>
        <v>43100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49">
        <f t="shared" si="29"/>
        <v>43100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49">
        <f t="shared" si="29"/>
        <v>43100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49">
        <f t="shared" si="29"/>
        <v>43100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49">
        <f t="shared" si="29"/>
        <v>43100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49">
        <f t="shared" si="29"/>
        <v>43100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-5258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49">
        <f t="shared" si="29"/>
        <v>43100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49">
        <f t="shared" si="29"/>
        <v>43100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49">
        <f t="shared" si="29"/>
        <v>43100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-5258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49">
        <f t="shared" si="29"/>
        <v>43100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49">
        <f t="shared" si="29"/>
        <v>43100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49">
        <f t="shared" si="29"/>
        <v>43100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49">
        <f t="shared" si="29"/>
        <v>43100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49">
        <f t="shared" si="29"/>
        <v>43100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49">
        <f t="shared" si="29"/>
        <v>43100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49">
        <f t="shared" si="29"/>
        <v>43100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49">
        <f t="shared" si="29"/>
        <v>43100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49">
        <f t="shared" si="29"/>
        <v>43100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49">
        <f t="shared" si="29"/>
        <v>43100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49">
        <f t="shared" si="29"/>
        <v>43100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49">
        <f t="shared" si="29"/>
        <v>43100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49">
        <f t="shared" si="29"/>
        <v>43100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49">
        <f t="shared" si="29"/>
        <v>43100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49">
        <f t="shared" si="29"/>
        <v>43100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49">
        <f t="shared" si="29"/>
        <v>43100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49">
        <f aca="true" t="shared" si="32" ref="C410:C459">endDate</f>
        <v>43100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49">
        <f t="shared" si="32"/>
        <v>43100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49">
        <f t="shared" si="32"/>
        <v>43100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49">
        <f t="shared" si="32"/>
        <v>43100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49">
        <f t="shared" si="32"/>
        <v>43100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49">
        <f t="shared" si="32"/>
        <v>43100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49">
        <f t="shared" si="32"/>
        <v>43100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-113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49">
        <f t="shared" si="32"/>
        <v>43100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49">
        <f t="shared" si="32"/>
        <v>43100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49">
        <f t="shared" si="32"/>
        <v>43100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49">
        <f t="shared" si="32"/>
        <v>43100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-113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49">
        <f t="shared" si="32"/>
        <v>43100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-333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49">
        <f t="shared" si="32"/>
        <v>43100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49">
        <f t="shared" si="32"/>
        <v>43100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49">
        <f t="shared" si="32"/>
        <v>43100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49">
        <f t="shared" si="32"/>
        <v>43100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49">
        <f t="shared" si="32"/>
        <v>43100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49">
        <f t="shared" si="32"/>
        <v>43100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49">
        <f t="shared" si="32"/>
        <v>43100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49">
        <f t="shared" si="32"/>
        <v>43100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49">
        <f t="shared" si="32"/>
        <v>43100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49">
        <f t="shared" si="32"/>
        <v>43100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49">
        <f t="shared" si="32"/>
        <v>43100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49">
        <f t="shared" si="32"/>
        <v>43100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49">
        <f t="shared" si="32"/>
        <v>43100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-446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49">
        <f t="shared" si="32"/>
        <v>43100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49">
        <f t="shared" si="32"/>
        <v>43100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49">
        <f t="shared" si="32"/>
        <v>43100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-446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49">
        <f t="shared" si="32"/>
        <v>43100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49">
        <f t="shared" si="32"/>
        <v>43100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49">
        <f t="shared" si="32"/>
        <v>43100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49">
        <f t="shared" si="32"/>
        <v>43100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49">
        <f t="shared" si="32"/>
        <v>43100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49">
        <f t="shared" si="32"/>
        <v>43100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49">
        <f t="shared" si="32"/>
        <v>43100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49">
        <f t="shared" si="32"/>
        <v>43100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49">
        <f t="shared" si="32"/>
        <v>43100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49">
        <f t="shared" si="32"/>
        <v>43100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49">
        <f t="shared" si="32"/>
        <v>43100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49">
        <f t="shared" si="32"/>
        <v>43100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49">
        <f t="shared" si="32"/>
        <v>43100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49">
        <f t="shared" si="32"/>
        <v>43100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49">
        <f t="shared" si="32"/>
        <v>43100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49">
        <f t="shared" si="32"/>
        <v>43100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49">
        <f t="shared" si="32"/>
        <v>43100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49">
        <f t="shared" si="32"/>
        <v>43100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49">
        <f t="shared" si="32"/>
        <v>43100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49">
        <f t="shared" si="32"/>
        <v>43100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49">
        <f t="shared" si="32"/>
        <v>43100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49">
        <f t="shared" si="32"/>
        <v>43100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49">
        <f aca="true" t="shared" si="35" ref="C461:C524">endDate</f>
        <v>43100</v>
      </c>
      <c r="D461" s="99" t="s">
        <v>523</v>
      </c>
      <c r="E461" s="481">
        <v>1</v>
      </c>
      <c r="F461" s="99" t="s">
        <v>522</v>
      </c>
      <c r="H461" s="99">
        <f>'Справка 6'!D11</f>
        <v>510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49">
        <f t="shared" si="35"/>
        <v>43100</v>
      </c>
      <c r="D462" s="99" t="s">
        <v>526</v>
      </c>
      <c r="E462" s="481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49">
        <f t="shared" si="35"/>
        <v>43100</v>
      </c>
      <c r="D463" s="99" t="s">
        <v>529</v>
      </c>
      <c r="E463" s="481">
        <v>1</v>
      </c>
      <c r="F463" s="99" t="s">
        <v>528</v>
      </c>
      <c r="H463" s="99">
        <f>'Справка 6'!D13</f>
        <v>75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49">
        <f t="shared" si="35"/>
        <v>43100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49">
        <f t="shared" si="35"/>
        <v>43100</v>
      </c>
      <c r="D465" s="99" t="s">
        <v>535</v>
      </c>
      <c r="E465" s="481">
        <v>1</v>
      </c>
      <c r="F465" s="99" t="s">
        <v>534</v>
      </c>
      <c r="H465" s="99">
        <f>'Справка 6'!D15</f>
        <v>310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49">
        <f t="shared" si="35"/>
        <v>43100</v>
      </c>
      <c r="D466" s="99" t="s">
        <v>537</v>
      </c>
      <c r="E466" s="481">
        <v>1</v>
      </c>
      <c r="F466" s="99" t="s">
        <v>536</v>
      </c>
      <c r="H466" s="99">
        <f>'Справка 6'!D16</f>
        <v>91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49">
        <f t="shared" si="35"/>
        <v>43100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49">
        <f t="shared" si="35"/>
        <v>43100</v>
      </c>
      <c r="D468" s="99" t="s">
        <v>543</v>
      </c>
      <c r="E468" s="481">
        <v>1</v>
      </c>
      <c r="F468" s="99" t="s">
        <v>542</v>
      </c>
      <c r="H468" s="99">
        <f>'Справка 6'!D18</f>
        <v>356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49">
        <f t="shared" si="35"/>
        <v>43100</v>
      </c>
      <c r="D469" s="99" t="s">
        <v>545</v>
      </c>
      <c r="E469" s="481">
        <v>1</v>
      </c>
      <c r="F469" s="99" t="s">
        <v>804</v>
      </c>
      <c r="H469" s="99">
        <f>'Справка 6'!D19</f>
        <v>2198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49">
        <f t="shared" si="35"/>
        <v>43100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49">
        <f t="shared" si="35"/>
        <v>43100</v>
      </c>
      <c r="D471" s="99" t="s">
        <v>549</v>
      </c>
      <c r="E471" s="481">
        <v>1</v>
      </c>
      <c r="F471" s="99" t="s">
        <v>548</v>
      </c>
      <c r="H471" s="99">
        <f>'Справка 6'!D21</f>
        <v>173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49">
        <f t="shared" si="35"/>
        <v>43100</v>
      </c>
      <c r="D472" s="99" t="s">
        <v>553</v>
      </c>
      <c r="E472" s="481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49">
        <f t="shared" si="35"/>
        <v>43100</v>
      </c>
      <c r="D473" s="99" t="s">
        <v>555</v>
      </c>
      <c r="E473" s="481">
        <v>1</v>
      </c>
      <c r="F473" s="99" t="s">
        <v>554</v>
      </c>
      <c r="H473" s="99">
        <f>'Справка 6'!D24</f>
        <v>20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49">
        <f t="shared" si="35"/>
        <v>43100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49">
        <f t="shared" si="35"/>
        <v>43100</v>
      </c>
      <c r="D475" s="99" t="s">
        <v>558</v>
      </c>
      <c r="E475" s="481">
        <v>1</v>
      </c>
      <c r="F475" s="99" t="s">
        <v>542</v>
      </c>
      <c r="H475" s="99">
        <f>'Справка 6'!D26</f>
        <v>31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49">
        <f t="shared" si="35"/>
        <v>43100</v>
      </c>
      <c r="D476" s="99" t="s">
        <v>560</v>
      </c>
      <c r="E476" s="481">
        <v>1</v>
      </c>
      <c r="F476" s="99" t="s">
        <v>838</v>
      </c>
      <c r="H476" s="99">
        <f>'Справка 6'!D27</f>
        <v>95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49">
        <f t="shared" si="35"/>
        <v>43100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49">
        <f t="shared" si="35"/>
        <v>43100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49">
        <f t="shared" si="35"/>
        <v>43100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49">
        <f t="shared" si="35"/>
        <v>43100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49">
        <f t="shared" si="35"/>
        <v>43100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49">
        <f t="shared" si="35"/>
        <v>43100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49">
        <f t="shared" si="35"/>
        <v>43100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49">
        <f t="shared" si="35"/>
        <v>43100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49">
        <f t="shared" si="35"/>
        <v>43100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49">
        <f t="shared" si="35"/>
        <v>43100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49">
        <f t="shared" si="35"/>
        <v>43100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49">
        <f t="shared" si="35"/>
        <v>43100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49">
        <f t="shared" si="35"/>
        <v>43100</v>
      </c>
      <c r="D489" s="99" t="s">
        <v>581</v>
      </c>
      <c r="E489" s="481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49">
        <f t="shared" si="35"/>
        <v>43100</v>
      </c>
      <c r="D490" s="99" t="s">
        <v>583</v>
      </c>
      <c r="E490" s="481">
        <v>1</v>
      </c>
      <c r="F490" s="99" t="s">
        <v>582</v>
      </c>
      <c r="H490" s="99">
        <f>'Справка 6'!D42</f>
        <v>2472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49">
        <f t="shared" si="35"/>
        <v>43100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49">
        <f t="shared" si="35"/>
        <v>43100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49">
        <f t="shared" si="35"/>
        <v>43100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49">
        <f t="shared" si="35"/>
        <v>43100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49">
        <f t="shared" si="35"/>
        <v>43100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49">
        <f t="shared" si="35"/>
        <v>43100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49">
        <f t="shared" si="35"/>
        <v>43100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49">
        <f t="shared" si="35"/>
        <v>43100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49">
        <f t="shared" si="35"/>
        <v>43100</v>
      </c>
      <c r="D499" s="99" t="s">
        <v>545</v>
      </c>
      <c r="E499" s="481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49">
        <f t="shared" si="35"/>
        <v>43100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49">
        <f t="shared" si="35"/>
        <v>43100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49">
        <f t="shared" si="35"/>
        <v>43100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49">
        <f t="shared" si="35"/>
        <v>43100</v>
      </c>
      <c r="D503" s="99" t="s">
        <v>555</v>
      </c>
      <c r="E503" s="481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49">
        <f t="shared" si="35"/>
        <v>43100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49">
        <f t="shared" si="35"/>
        <v>43100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49">
        <f t="shared" si="35"/>
        <v>43100</v>
      </c>
      <c r="D506" s="99" t="s">
        <v>560</v>
      </c>
      <c r="E506" s="481">
        <v>2</v>
      </c>
      <c r="F506" s="99" t="s">
        <v>838</v>
      </c>
      <c r="H506" s="99">
        <f>'Справка 6'!E27</f>
        <v>2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49">
        <f t="shared" si="35"/>
        <v>43100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49">
        <f t="shared" si="35"/>
        <v>43100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49">
        <f t="shared" si="35"/>
        <v>43100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49">
        <f t="shared" si="35"/>
        <v>43100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49">
        <f t="shared" si="35"/>
        <v>43100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49">
        <f t="shared" si="35"/>
        <v>43100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49">
        <f t="shared" si="35"/>
        <v>43100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49">
        <f t="shared" si="35"/>
        <v>43100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49">
        <f t="shared" si="35"/>
        <v>43100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49">
        <f t="shared" si="35"/>
        <v>43100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49">
        <f t="shared" si="35"/>
        <v>43100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49">
        <f t="shared" si="35"/>
        <v>43100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49">
        <f t="shared" si="35"/>
        <v>43100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49">
        <f t="shared" si="35"/>
        <v>43100</v>
      </c>
      <c r="D520" s="99" t="s">
        <v>583</v>
      </c>
      <c r="E520" s="481">
        <v>2</v>
      </c>
      <c r="F520" s="99" t="s">
        <v>582</v>
      </c>
      <c r="H520" s="99">
        <f>'Справка 6'!E42</f>
        <v>2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49">
        <f t="shared" si="35"/>
        <v>43100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49">
        <f t="shared" si="35"/>
        <v>43100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49">
        <f t="shared" si="35"/>
        <v>43100</v>
      </c>
      <c r="D523" s="99" t="s">
        <v>529</v>
      </c>
      <c r="E523" s="481">
        <v>3</v>
      </c>
      <c r="F523" s="99" t="s">
        <v>528</v>
      </c>
      <c r="H523" s="99">
        <f>'Справка 6'!F13</f>
        <v>14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49">
        <f t="shared" si="35"/>
        <v>43100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49">
        <f aca="true" t="shared" si="38" ref="C525:C588">endDate</f>
        <v>43100</v>
      </c>
      <c r="D525" s="99" t="s">
        <v>535</v>
      </c>
      <c r="E525" s="481">
        <v>3</v>
      </c>
      <c r="F525" s="99" t="s">
        <v>534</v>
      </c>
      <c r="H525" s="99">
        <f>'Справка 6'!F15</f>
        <v>12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49">
        <f t="shared" si="38"/>
        <v>43100</v>
      </c>
      <c r="D526" s="99" t="s">
        <v>537</v>
      </c>
      <c r="E526" s="481">
        <v>3</v>
      </c>
      <c r="F526" s="99" t="s">
        <v>536</v>
      </c>
      <c r="H526" s="99">
        <f>'Справка 6'!F16</f>
        <v>43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49">
        <f t="shared" si="38"/>
        <v>43100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49">
        <f t="shared" si="38"/>
        <v>43100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49">
        <f t="shared" si="38"/>
        <v>43100</v>
      </c>
      <c r="D529" s="99" t="s">
        <v>545</v>
      </c>
      <c r="E529" s="481">
        <v>3</v>
      </c>
      <c r="F529" s="99" t="s">
        <v>804</v>
      </c>
      <c r="H529" s="99">
        <f>'Справка 6'!F19</f>
        <v>69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49">
        <f t="shared" si="38"/>
        <v>43100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49">
        <f t="shared" si="38"/>
        <v>43100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49">
        <f t="shared" si="38"/>
        <v>43100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49">
        <f t="shared" si="38"/>
        <v>43100</v>
      </c>
      <c r="D533" s="99" t="s">
        <v>555</v>
      </c>
      <c r="E533" s="481">
        <v>3</v>
      </c>
      <c r="F533" s="99" t="s">
        <v>554</v>
      </c>
      <c r="H533" s="99">
        <f>'Справка 6'!F24</f>
        <v>7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49">
        <f t="shared" si="38"/>
        <v>43100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49">
        <f t="shared" si="38"/>
        <v>43100</v>
      </c>
      <c r="D535" s="99" t="s">
        <v>558</v>
      </c>
      <c r="E535" s="481">
        <v>3</v>
      </c>
      <c r="F535" s="99" t="s">
        <v>542</v>
      </c>
      <c r="H535" s="99">
        <f>'Справка 6'!F26</f>
        <v>4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49">
        <f t="shared" si="38"/>
        <v>43100</v>
      </c>
      <c r="D536" s="99" t="s">
        <v>560</v>
      </c>
      <c r="E536" s="481">
        <v>3</v>
      </c>
      <c r="F536" s="99" t="s">
        <v>838</v>
      </c>
      <c r="H536" s="99">
        <f>'Справка 6'!F27</f>
        <v>11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49">
        <f t="shared" si="38"/>
        <v>43100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49">
        <f t="shared" si="38"/>
        <v>43100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49">
        <f t="shared" si="38"/>
        <v>43100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49">
        <f t="shared" si="38"/>
        <v>43100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49">
        <f t="shared" si="38"/>
        <v>43100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49">
        <f t="shared" si="38"/>
        <v>43100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49">
        <f t="shared" si="38"/>
        <v>43100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49">
        <f t="shared" si="38"/>
        <v>43100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49">
        <f t="shared" si="38"/>
        <v>43100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49">
        <f t="shared" si="38"/>
        <v>43100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49">
        <f t="shared" si="38"/>
        <v>43100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49">
        <f t="shared" si="38"/>
        <v>43100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49">
        <f t="shared" si="38"/>
        <v>43100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49">
        <f t="shared" si="38"/>
        <v>43100</v>
      </c>
      <c r="D550" s="99" t="s">
        <v>583</v>
      </c>
      <c r="E550" s="481">
        <v>3</v>
      </c>
      <c r="F550" s="99" t="s">
        <v>582</v>
      </c>
      <c r="H550" s="99">
        <f>'Справка 6'!F42</f>
        <v>80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49">
        <f t="shared" si="38"/>
        <v>43100</v>
      </c>
      <c r="D551" s="99" t="s">
        <v>523</v>
      </c>
      <c r="E551" s="481">
        <v>4</v>
      </c>
      <c r="F551" s="99" t="s">
        <v>522</v>
      </c>
      <c r="H551" s="99">
        <f>'Справка 6'!G11</f>
        <v>510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49">
        <f t="shared" si="38"/>
        <v>43100</v>
      </c>
      <c r="D552" s="99" t="s">
        <v>526</v>
      </c>
      <c r="E552" s="481">
        <v>4</v>
      </c>
      <c r="F552" s="99" t="s">
        <v>525</v>
      </c>
      <c r="H552" s="99">
        <f>'Справка 6'!G12</f>
        <v>856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49">
        <f t="shared" si="38"/>
        <v>43100</v>
      </c>
      <c r="D553" s="99" t="s">
        <v>529</v>
      </c>
      <c r="E553" s="481">
        <v>4</v>
      </c>
      <c r="F553" s="99" t="s">
        <v>528</v>
      </c>
      <c r="H553" s="99">
        <f>'Справка 6'!G13</f>
        <v>61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49">
        <f t="shared" si="38"/>
        <v>43100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49">
        <f t="shared" si="38"/>
        <v>43100</v>
      </c>
      <c r="D555" s="99" t="s">
        <v>535</v>
      </c>
      <c r="E555" s="481">
        <v>4</v>
      </c>
      <c r="F555" s="99" t="s">
        <v>534</v>
      </c>
      <c r="H555" s="99">
        <f>'Справка 6'!G15</f>
        <v>298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49">
        <f t="shared" si="38"/>
        <v>43100</v>
      </c>
      <c r="D556" s="99" t="s">
        <v>537</v>
      </c>
      <c r="E556" s="481">
        <v>4</v>
      </c>
      <c r="F556" s="99" t="s">
        <v>536</v>
      </c>
      <c r="H556" s="99">
        <f>'Справка 6'!G16</f>
        <v>48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49">
        <f t="shared" si="38"/>
        <v>43100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49">
        <f t="shared" si="38"/>
        <v>43100</v>
      </c>
      <c r="D558" s="99" t="s">
        <v>543</v>
      </c>
      <c r="E558" s="481">
        <v>4</v>
      </c>
      <c r="F558" s="99" t="s">
        <v>542</v>
      </c>
      <c r="H558" s="99">
        <f>'Справка 6'!G18</f>
        <v>356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49">
        <f t="shared" si="38"/>
        <v>43100</v>
      </c>
      <c r="D559" s="99" t="s">
        <v>545</v>
      </c>
      <c r="E559" s="481">
        <v>4</v>
      </c>
      <c r="F559" s="99" t="s">
        <v>804</v>
      </c>
      <c r="H559" s="99">
        <f>'Справка 6'!G19</f>
        <v>2129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49">
        <f t="shared" si="38"/>
        <v>43100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49">
        <f t="shared" si="38"/>
        <v>43100</v>
      </c>
      <c r="D561" s="99" t="s">
        <v>549</v>
      </c>
      <c r="E561" s="481">
        <v>4</v>
      </c>
      <c r="F561" s="99" t="s">
        <v>548</v>
      </c>
      <c r="H561" s="99">
        <f>'Справка 6'!G21</f>
        <v>173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49">
        <f t="shared" si="38"/>
        <v>43100</v>
      </c>
      <c r="D562" s="99" t="s">
        <v>553</v>
      </c>
      <c r="E562" s="481">
        <v>4</v>
      </c>
      <c r="F562" s="99" t="s">
        <v>552</v>
      </c>
      <c r="H562" s="99">
        <f>'Справка 6'!G23</f>
        <v>44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49">
        <f t="shared" si="38"/>
        <v>43100</v>
      </c>
      <c r="D563" s="99" t="s">
        <v>555</v>
      </c>
      <c r="E563" s="481">
        <v>4</v>
      </c>
      <c r="F563" s="99" t="s">
        <v>554</v>
      </c>
      <c r="H563" s="99">
        <f>'Справка 6'!G24</f>
        <v>15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49">
        <f t="shared" si="38"/>
        <v>43100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49">
        <f t="shared" si="38"/>
        <v>43100</v>
      </c>
      <c r="D565" s="99" t="s">
        <v>558</v>
      </c>
      <c r="E565" s="481">
        <v>4</v>
      </c>
      <c r="F565" s="99" t="s">
        <v>542</v>
      </c>
      <c r="H565" s="99">
        <f>'Справка 6'!G26</f>
        <v>27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49">
        <f t="shared" si="38"/>
        <v>43100</v>
      </c>
      <c r="D566" s="99" t="s">
        <v>560</v>
      </c>
      <c r="E566" s="481">
        <v>4</v>
      </c>
      <c r="F566" s="99" t="s">
        <v>838</v>
      </c>
      <c r="H566" s="99">
        <f>'Справка 6'!G27</f>
        <v>86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49">
        <f t="shared" si="38"/>
        <v>43100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49">
        <f t="shared" si="38"/>
        <v>43100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49">
        <f t="shared" si="38"/>
        <v>43100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49">
        <f t="shared" si="38"/>
        <v>43100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49">
        <f t="shared" si="38"/>
        <v>43100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49">
        <f t="shared" si="38"/>
        <v>43100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49">
        <f t="shared" si="38"/>
        <v>43100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49">
        <f t="shared" si="38"/>
        <v>43100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49">
        <f t="shared" si="38"/>
        <v>43100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49">
        <f t="shared" si="38"/>
        <v>43100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49">
        <f t="shared" si="38"/>
        <v>43100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49">
        <f t="shared" si="38"/>
        <v>43100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49">
        <f t="shared" si="38"/>
        <v>43100</v>
      </c>
      <c r="D579" s="99" t="s">
        <v>581</v>
      </c>
      <c r="E579" s="481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49">
        <f t="shared" si="38"/>
        <v>43100</v>
      </c>
      <c r="D580" s="99" t="s">
        <v>583</v>
      </c>
      <c r="E580" s="481">
        <v>4</v>
      </c>
      <c r="F580" s="99" t="s">
        <v>582</v>
      </c>
      <c r="H580" s="99">
        <f>'Справка 6'!G42</f>
        <v>2394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49">
        <f t="shared" si="38"/>
        <v>43100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49">
        <f t="shared" si="38"/>
        <v>43100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49">
        <f t="shared" si="38"/>
        <v>43100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49">
        <f t="shared" si="38"/>
        <v>43100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49">
        <f t="shared" si="38"/>
        <v>43100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49">
        <f t="shared" si="38"/>
        <v>43100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49">
        <f t="shared" si="38"/>
        <v>43100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49">
        <f t="shared" si="38"/>
        <v>43100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49">
        <f aca="true" t="shared" si="41" ref="C589:C652">endDate</f>
        <v>43100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49">
        <f t="shared" si="41"/>
        <v>43100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49">
        <f t="shared" si="41"/>
        <v>43100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49">
        <f t="shared" si="41"/>
        <v>43100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49">
        <f t="shared" si="41"/>
        <v>43100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49">
        <f t="shared" si="41"/>
        <v>43100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49">
        <f t="shared" si="41"/>
        <v>43100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49">
        <f t="shared" si="41"/>
        <v>43100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49">
        <f t="shared" si="41"/>
        <v>43100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49">
        <f t="shared" si="41"/>
        <v>43100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49">
        <f t="shared" si="41"/>
        <v>43100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49">
        <f t="shared" si="41"/>
        <v>43100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49">
        <f t="shared" si="41"/>
        <v>43100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49">
        <f t="shared" si="41"/>
        <v>43100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49">
        <f t="shared" si="41"/>
        <v>43100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49">
        <f t="shared" si="41"/>
        <v>43100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49">
        <f t="shared" si="41"/>
        <v>43100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49">
        <f t="shared" si="41"/>
        <v>43100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49">
        <f t="shared" si="41"/>
        <v>43100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49">
        <f t="shared" si="41"/>
        <v>43100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49">
        <f t="shared" si="41"/>
        <v>43100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49">
        <f t="shared" si="41"/>
        <v>43100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49">
        <f t="shared" si="41"/>
        <v>43100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49">
        <f t="shared" si="41"/>
        <v>43100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49">
        <f t="shared" si="41"/>
        <v>43100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49">
        <f t="shared" si="41"/>
        <v>43100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49">
        <f t="shared" si="41"/>
        <v>43100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49">
        <f t="shared" si="41"/>
        <v>43100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49">
        <f t="shared" si="41"/>
        <v>43100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49">
        <f t="shared" si="41"/>
        <v>43100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49">
        <f t="shared" si="41"/>
        <v>43100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49">
        <f t="shared" si="41"/>
        <v>43100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49">
        <f t="shared" si="41"/>
        <v>43100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49">
        <f t="shared" si="41"/>
        <v>43100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49">
        <f t="shared" si="41"/>
        <v>43100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49">
        <f t="shared" si="41"/>
        <v>43100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49">
        <f t="shared" si="41"/>
        <v>43100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49">
        <f t="shared" si="41"/>
        <v>43100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49">
        <f t="shared" si="41"/>
        <v>43100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49">
        <f t="shared" si="41"/>
        <v>43100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49">
        <f t="shared" si="41"/>
        <v>43100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49">
        <f t="shared" si="41"/>
        <v>43100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49">
        <f t="shared" si="41"/>
        <v>43100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49">
        <f t="shared" si="41"/>
        <v>43100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49">
        <f t="shared" si="41"/>
        <v>43100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49">
        <f t="shared" si="41"/>
        <v>43100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49">
        <f t="shared" si="41"/>
        <v>43100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49">
        <f t="shared" si="41"/>
        <v>43100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49">
        <f t="shared" si="41"/>
        <v>43100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49">
        <f t="shared" si="41"/>
        <v>43100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49">
        <f t="shared" si="41"/>
        <v>43100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49">
        <f t="shared" si="41"/>
        <v>43100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49">
        <f t="shared" si="41"/>
        <v>43100</v>
      </c>
      <c r="D641" s="99" t="s">
        <v>523</v>
      </c>
      <c r="E641" s="481">
        <v>7</v>
      </c>
      <c r="F641" s="99" t="s">
        <v>522</v>
      </c>
      <c r="H641" s="99">
        <f>'Справка 6'!J11</f>
        <v>510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49">
        <f t="shared" si="41"/>
        <v>43100</v>
      </c>
      <c r="D642" s="99" t="s">
        <v>526</v>
      </c>
      <c r="E642" s="481">
        <v>7</v>
      </c>
      <c r="F642" s="99" t="s">
        <v>525</v>
      </c>
      <c r="H642" s="99">
        <f>'Справка 6'!J12</f>
        <v>856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49">
        <f t="shared" si="41"/>
        <v>43100</v>
      </c>
      <c r="D643" s="99" t="s">
        <v>529</v>
      </c>
      <c r="E643" s="481">
        <v>7</v>
      </c>
      <c r="F643" s="99" t="s">
        <v>528</v>
      </c>
      <c r="H643" s="99">
        <f>'Справка 6'!J13</f>
        <v>61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49">
        <f t="shared" si="41"/>
        <v>43100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49">
        <f t="shared" si="41"/>
        <v>43100</v>
      </c>
      <c r="D645" s="99" t="s">
        <v>535</v>
      </c>
      <c r="E645" s="481">
        <v>7</v>
      </c>
      <c r="F645" s="99" t="s">
        <v>534</v>
      </c>
      <c r="H645" s="99">
        <f>'Справка 6'!J15</f>
        <v>298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49">
        <f t="shared" si="41"/>
        <v>43100</v>
      </c>
      <c r="D646" s="99" t="s">
        <v>537</v>
      </c>
      <c r="E646" s="481">
        <v>7</v>
      </c>
      <c r="F646" s="99" t="s">
        <v>536</v>
      </c>
      <c r="H646" s="99">
        <f>'Справка 6'!J16</f>
        <v>48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49">
        <f t="shared" si="41"/>
        <v>43100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49">
        <f t="shared" si="41"/>
        <v>43100</v>
      </c>
      <c r="D648" s="99" t="s">
        <v>543</v>
      </c>
      <c r="E648" s="481">
        <v>7</v>
      </c>
      <c r="F648" s="99" t="s">
        <v>542</v>
      </c>
      <c r="H648" s="99">
        <f>'Справка 6'!J18</f>
        <v>356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49">
        <f t="shared" si="41"/>
        <v>43100</v>
      </c>
      <c r="D649" s="99" t="s">
        <v>545</v>
      </c>
      <c r="E649" s="481">
        <v>7</v>
      </c>
      <c r="F649" s="99" t="s">
        <v>804</v>
      </c>
      <c r="H649" s="99">
        <f>'Справка 6'!J19</f>
        <v>2129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49">
        <f t="shared" si="41"/>
        <v>43100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49">
        <f t="shared" si="41"/>
        <v>43100</v>
      </c>
      <c r="D651" s="99" t="s">
        <v>549</v>
      </c>
      <c r="E651" s="481">
        <v>7</v>
      </c>
      <c r="F651" s="99" t="s">
        <v>548</v>
      </c>
      <c r="H651" s="99">
        <f>'Справка 6'!J21</f>
        <v>173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49">
        <f t="shared" si="41"/>
        <v>43100</v>
      </c>
      <c r="D652" s="99" t="s">
        <v>553</v>
      </c>
      <c r="E652" s="481">
        <v>7</v>
      </c>
      <c r="F652" s="99" t="s">
        <v>552</v>
      </c>
      <c r="H652" s="99">
        <f>'Справка 6'!J23</f>
        <v>44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49">
        <f aca="true" t="shared" si="44" ref="C653:C716">endDate</f>
        <v>43100</v>
      </c>
      <c r="D653" s="99" t="s">
        <v>555</v>
      </c>
      <c r="E653" s="481">
        <v>7</v>
      </c>
      <c r="F653" s="99" t="s">
        <v>554</v>
      </c>
      <c r="H653" s="99">
        <f>'Справка 6'!J24</f>
        <v>15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49">
        <f t="shared" si="44"/>
        <v>43100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49">
        <f t="shared" si="44"/>
        <v>43100</v>
      </c>
      <c r="D655" s="99" t="s">
        <v>558</v>
      </c>
      <c r="E655" s="481">
        <v>7</v>
      </c>
      <c r="F655" s="99" t="s">
        <v>542</v>
      </c>
      <c r="H655" s="99">
        <f>'Справка 6'!J26</f>
        <v>27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49">
        <f t="shared" si="44"/>
        <v>43100</v>
      </c>
      <c r="D656" s="99" t="s">
        <v>560</v>
      </c>
      <c r="E656" s="481">
        <v>7</v>
      </c>
      <c r="F656" s="99" t="s">
        <v>838</v>
      </c>
      <c r="H656" s="99">
        <f>'Справка 6'!J27</f>
        <v>86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49">
        <f t="shared" si="44"/>
        <v>43100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49">
        <f t="shared" si="44"/>
        <v>43100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49">
        <f t="shared" si="44"/>
        <v>43100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49">
        <f t="shared" si="44"/>
        <v>43100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49">
        <f t="shared" si="44"/>
        <v>43100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49">
        <f t="shared" si="44"/>
        <v>43100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49">
        <f t="shared" si="44"/>
        <v>43100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49">
        <f t="shared" si="44"/>
        <v>43100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49">
        <f t="shared" si="44"/>
        <v>43100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49">
        <f t="shared" si="44"/>
        <v>43100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49">
        <f t="shared" si="44"/>
        <v>43100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49">
        <f t="shared" si="44"/>
        <v>43100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49">
        <f t="shared" si="44"/>
        <v>43100</v>
      </c>
      <c r="D669" s="99" t="s">
        <v>581</v>
      </c>
      <c r="E669" s="481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49">
        <f t="shared" si="44"/>
        <v>43100</v>
      </c>
      <c r="D670" s="99" t="s">
        <v>583</v>
      </c>
      <c r="E670" s="481">
        <v>7</v>
      </c>
      <c r="F670" s="99" t="s">
        <v>582</v>
      </c>
      <c r="H670" s="99">
        <f>'Справка 6'!J42</f>
        <v>2394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49">
        <f t="shared" si="44"/>
        <v>43100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49">
        <f t="shared" si="44"/>
        <v>43100</v>
      </c>
      <c r="D672" s="99" t="s">
        <v>526</v>
      </c>
      <c r="E672" s="481">
        <v>8</v>
      </c>
      <c r="F672" s="99" t="s">
        <v>525</v>
      </c>
      <c r="H672" s="99">
        <f>'Справка 6'!K12</f>
        <v>119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49">
        <f t="shared" si="44"/>
        <v>43100</v>
      </c>
      <c r="D673" s="99" t="s">
        <v>529</v>
      </c>
      <c r="E673" s="481">
        <v>8</v>
      </c>
      <c r="F673" s="99" t="s">
        <v>528</v>
      </c>
      <c r="H673" s="99">
        <f>'Справка 6'!K13</f>
        <v>75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49">
        <f t="shared" si="44"/>
        <v>43100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49">
        <f t="shared" si="44"/>
        <v>43100</v>
      </c>
      <c r="D675" s="99" t="s">
        <v>535</v>
      </c>
      <c r="E675" s="481">
        <v>8</v>
      </c>
      <c r="F675" s="99" t="s">
        <v>534</v>
      </c>
      <c r="H675" s="99">
        <f>'Справка 6'!K15</f>
        <v>298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49">
        <f t="shared" si="44"/>
        <v>43100</v>
      </c>
      <c r="D676" s="99" t="s">
        <v>537</v>
      </c>
      <c r="E676" s="481">
        <v>8</v>
      </c>
      <c r="F676" s="99" t="s">
        <v>536</v>
      </c>
      <c r="H676" s="99">
        <f>'Справка 6'!K16</f>
        <v>71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49">
        <f t="shared" si="44"/>
        <v>43100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49">
        <f t="shared" si="44"/>
        <v>43100</v>
      </c>
      <c r="D678" s="99" t="s">
        <v>543</v>
      </c>
      <c r="E678" s="481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49">
        <f t="shared" si="44"/>
        <v>43100</v>
      </c>
      <c r="D679" s="99" t="s">
        <v>545</v>
      </c>
      <c r="E679" s="481">
        <v>8</v>
      </c>
      <c r="F679" s="99" t="s">
        <v>804</v>
      </c>
      <c r="H679" s="99">
        <f>'Справка 6'!K19</f>
        <v>575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49">
        <f t="shared" si="44"/>
        <v>43100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49">
        <f t="shared" si="44"/>
        <v>43100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49">
        <f t="shared" si="44"/>
        <v>43100</v>
      </c>
      <c r="D682" s="99" t="s">
        <v>553</v>
      </c>
      <c r="E682" s="481">
        <v>8</v>
      </c>
      <c r="F682" s="99" t="s">
        <v>552</v>
      </c>
      <c r="H682" s="99">
        <f>'Справка 6'!K23</f>
        <v>40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49">
        <f t="shared" si="44"/>
        <v>43100</v>
      </c>
      <c r="D683" s="99" t="s">
        <v>555</v>
      </c>
      <c r="E683" s="481">
        <v>8</v>
      </c>
      <c r="F683" s="99" t="s">
        <v>554</v>
      </c>
      <c r="H683" s="99">
        <f>'Справка 6'!K24</f>
        <v>19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49">
        <f t="shared" si="44"/>
        <v>43100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49">
        <f t="shared" si="44"/>
        <v>43100</v>
      </c>
      <c r="D685" s="99" t="s">
        <v>558</v>
      </c>
      <c r="E685" s="481">
        <v>8</v>
      </c>
      <c r="F685" s="99" t="s">
        <v>542</v>
      </c>
      <c r="H685" s="99">
        <f>'Справка 6'!K26</f>
        <v>23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49">
        <f t="shared" si="44"/>
        <v>43100</v>
      </c>
      <c r="D686" s="99" t="s">
        <v>560</v>
      </c>
      <c r="E686" s="481">
        <v>8</v>
      </c>
      <c r="F686" s="99" t="s">
        <v>838</v>
      </c>
      <c r="H686" s="99">
        <f>'Справка 6'!K27</f>
        <v>82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49">
        <f t="shared" si="44"/>
        <v>43100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49">
        <f t="shared" si="44"/>
        <v>43100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49">
        <f t="shared" si="44"/>
        <v>43100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49">
        <f t="shared" si="44"/>
        <v>43100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49">
        <f t="shared" si="44"/>
        <v>43100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49">
        <f t="shared" si="44"/>
        <v>43100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49">
        <f t="shared" si="44"/>
        <v>43100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49">
        <f t="shared" si="44"/>
        <v>43100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49">
        <f t="shared" si="44"/>
        <v>43100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49">
        <f t="shared" si="44"/>
        <v>43100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49">
        <f t="shared" si="44"/>
        <v>43100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49">
        <f t="shared" si="44"/>
        <v>43100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49">
        <f t="shared" si="44"/>
        <v>43100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49">
        <f t="shared" si="44"/>
        <v>43100</v>
      </c>
      <c r="D700" s="99" t="s">
        <v>583</v>
      </c>
      <c r="E700" s="481">
        <v>8</v>
      </c>
      <c r="F700" s="99" t="s">
        <v>582</v>
      </c>
      <c r="H700" s="99">
        <f>'Справка 6'!K42</f>
        <v>657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49">
        <f t="shared" si="44"/>
        <v>43100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49">
        <f t="shared" si="44"/>
        <v>43100</v>
      </c>
      <c r="D702" s="99" t="s">
        <v>526</v>
      </c>
      <c r="E702" s="481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49">
        <f t="shared" si="44"/>
        <v>43100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49">
        <f t="shared" si="44"/>
        <v>43100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49">
        <f t="shared" si="44"/>
        <v>43100</v>
      </c>
      <c r="D705" s="99" t="s">
        <v>535</v>
      </c>
      <c r="E705" s="481">
        <v>9</v>
      </c>
      <c r="F705" s="99" t="s">
        <v>534</v>
      </c>
      <c r="H705" s="99">
        <f>'Справка 6'!L15</f>
        <v>8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49">
        <f t="shared" si="44"/>
        <v>43100</v>
      </c>
      <c r="D706" s="99" t="s">
        <v>537</v>
      </c>
      <c r="E706" s="481">
        <v>9</v>
      </c>
      <c r="F706" s="99" t="s">
        <v>536</v>
      </c>
      <c r="H706" s="99">
        <f>'Справка 6'!L16</f>
        <v>5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49">
        <f t="shared" si="44"/>
        <v>43100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49">
        <f t="shared" si="44"/>
        <v>43100</v>
      </c>
      <c r="D708" s="99" t="s">
        <v>543</v>
      </c>
      <c r="E708" s="481">
        <v>9</v>
      </c>
      <c r="F708" s="99" t="s">
        <v>542</v>
      </c>
      <c r="H708" s="99">
        <f>'Справка 6'!L18</f>
        <v>12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49">
        <f t="shared" si="44"/>
        <v>43100</v>
      </c>
      <c r="D709" s="99" t="s">
        <v>545</v>
      </c>
      <c r="E709" s="481">
        <v>9</v>
      </c>
      <c r="F709" s="99" t="s">
        <v>804</v>
      </c>
      <c r="H709" s="99">
        <f>'Справка 6'!L19</f>
        <v>35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49">
        <f t="shared" si="44"/>
        <v>43100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49">
        <f t="shared" si="44"/>
        <v>43100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49">
        <f t="shared" si="44"/>
        <v>43100</v>
      </c>
      <c r="D712" s="99" t="s">
        <v>553</v>
      </c>
      <c r="E712" s="481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49">
        <f t="shared" si="44"/>
        <v>43100</v>
      </c>
      <c r="D713" s="99" t="s">
        <v>555</v>
      </c>
      <c r="E713" s="481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49">
        <f t="shared" si="44"/>
        <v>43100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49">
        <f t="shared" si="44"/>
        <v>43100</v>
      </c>
      <c r="D715" s="99" t="s">
        <v>558</v>
      </c>
      <c r="E715" s="481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49">
        <f t="shared" si="44"/>
        <v>43100</v>
      </c>
      <c r="D716" s="99" t="s">
        <v>560</v>
      </c>
      <c r="E716" s="481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49">
        <f aca="true" t="shared" si="47" ref="C717:C780">endDate</f>
        <v>43100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49">
        <f t="shared" si="47"/>
        <v>43100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49">
        <f t="shared" si="47"/>
        <v>43100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49">
        <f t="shared" si="47"/>
        <v>43100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49">
        <f t="shared" si="47"/>
        <v>43100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49">
        <f t="shared" si="47"/>
        <v>43100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49">
        <f t="shared" si="47"/>
        <v>43100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49">
        <f t="shared" si="47"/>
        <v>43100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49">
        <f t="shared" si="47"/>
        <v>43100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49">
        <f t="shared" si="47"/>
        <v>43100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49">
        <f t="shared" si="47"/>
        <v>43100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49">
        <f t="shared" si="47"/>
        <v>43100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49">
        <f t="shared" si="47"/>
        <v>43100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49">
        <f t="shared" si="47"/>
        <v>43100</v>
      </c>
      <c r="D730" s="99" t="s">
        <v>583</v>
      </c>
      <c r="E730" s="481">
        <v>9</v>
      </c>
      <c r="F730" s="99" t="s">
        <v>582</v>
      </c>
      <c r="H730" s="99">
        <f>'Справка 6'!L42</f>
        <v>39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49">
        <f t="shared" si="47"/>
        <v>43100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49">
        <f t="shared" si="47"/>
        <v>43100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49">
        <f t="shared" si="47"/>
        <v>43100</v>
      </c>
      <c r="D733" s="99" t="s">
        <v>529</v>
      </c>
      <c r="E733" s="481">
        <v>10</v>
      </c>
      <c r="F733" s="99" t="s">
        <v>528</v>
      </c>
      <c r="H733" s="99">
        <f>'Справка 6'!M13</f>
        <v>14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49">
        <f t="shared" si="47"/>
        <v>43100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49">
        <f t="shared" si="47"/>
        <v>43100</v>
      </c>
      <c r="D735" s="99" t="s">
        <v>535</v>
      </c>
      <c r="E735" s="481">
        <v>10</v>
      </c>
      <c r="F735" s="99" t="s">
        <v>534</v>
      </c>
      <c r="H735" s="99">
        <f>'Справка 6'!M15</f>
        <v>12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49">
        <f t="shared" si="47"/>
        <v>43100</v>
      </c>
      <c r="D736" s="99" t="s">
        <v>537</v>
      </c>
      <c r="E736" s="481">
        <v>10</v>
      </c>
      <c r="F736" s="99" t="s">
        <v>536</v>
      </c>
      <c r="H736" s="99">
        <f>'Справка 6'!M16</f>
        <v>43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49">
        <f t="shared" si="47"/>
        <v>43100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49">
        <f t="shared" si="47"/>
        <v>43100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49">
        <f t="shared" si="47"/>
        <v>43100</v>
      </c>
      <c r="D739" s="99" t="s">
        <v>545</v>
      </c>
      <c r="E739" s="481">
        <v>10</v>
      </c>
      <c r="F739" s="99" t="s">
        <v>804</v>
      </c>
      <c r="H739" s="99">
        <f>'Справка 6'!M19</f>
        <v>69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49">
        <f t="shared" si="47"/>
        <v>43100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49">
        <f t="shared" si="47"/>
        <v>43100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49">
        <f t="shared" si="47"/>
        <v>43100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49">
        <f t="shared" si="47"/>
        <v>43100</v>
      </c>
      <c r="D743" s="99" t="s">
        <v>555</v>
      </c>
      <c r="E743" s="481">
        <v>10</v>
      </c>
      <c r="F743" s="99" t="s">
        <v>554</v>
      </c>
      <c r="H743" s="99">
        <f>'Справка 6'!M24</f>
        <v>7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49">
        <f t="shared" si="47"/>
        <v>43100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49">
        <f t="shared" si="47"/>
        <v>43100</v>
      </c>
      <c r="D745" s="99" t="s">
        <v>558</v>
      </c>
      <c r="E745" s="481">
        <v>10</v>
      </c>
      <c r="F745" s="99" t="s">
        <v>542</v>
      </c>
      <c r="H745" s="99">
        <f>'Справка 6'!M26</f>
        <v>4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49">
        <f t="shared" si="47"/>
        <v>43100</v>
      </c>
      <c r="D746" s="99" t="s">
        <v>560</v>
      </c>
      <c r="E746" s="481">
        <v>10</v>
      </c>
      <c r="F746" s="99" t="s">
        <v>838</v>
      </c>
      <c r="H746" s="99">
        <f>'Справка 6'!M27</f>
        <v>11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49">
        <f t="shared" si="47"/>
        <v>43100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49">
        <f t="shared" si="47"/>
        <v>43100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49">
        <f t="shared" si="47"/>
        <v>43100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49">
        <f t="shared" si="47"/>
        <v>43100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49">
        <f t="shared" si="47"/>
        <v>43100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49">
        <f t="shared" si="47"/>
        <v>43100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49">
        <f t="shared" si="47"/>
        <v>43100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49">
        <f t="shared" si="47"/>
        <v>43100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49">
        <f t="shared" si="47"/>
        <v>43100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49">
        <f t="shared" si="47"/>
        <v>43100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49">
        <f t="shared" si="47"/>
        <v>43100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49">
        <f t="shared" si="47"/>
        <v>43100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49">
        <f t="shared" si="47"/>
        <v>43100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49">
        <f t="shared" si="47"/>
        <v>43100</v>
      </c>
      <c r="D760" s="99" t="s">
        <v>583</v>
      </c>
      <c r="E760" s="481">
        <v>10</v>
      </c>
      <c r="F760" s="99" t="s">
        <v>582</v>
      </c>
      <c r="H760" s="99">
        <f>'Справка 6'!M42</f>
        <v>80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49">
        <f t="shared" si="47"/>
        <v>43100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49">
        <f t="shared" si="47"/>
        <v>43100</v>
      </c>
      <c r="D762" s="99" t="s">
        <v>526</v>
      </c>
      <c r="E762" s="481">
        <v>11</v>
      </c>
      <c r="F762" s="99" t="s">
        <v>525</v>
      </c>
      <c r="H762" s="99">
        <f>'Справка 6'!N12</f>
        <v>129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49">
        <f t="shared" si="47"/>
        <v>43100</v>
      </c>
      <c r="D763" s="99" t="s">
        <v>529</v>
      </c>
      <c r="E763" s="481">
        <v>11</v>
      </c>
      <c r="F763" s="99" t="s">
        <v>528</v>
      </c>
      <c r="H763" s="99">
        <f>'Справка 6'!N13</f>
        <v>61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49">
        <f t="shared" si="47"/>
        <v>43100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49">
        <f t="shared" si="47"/>
        <v>43100</v>
      </c>
      <c r="D765" s="99" t="s">
        <v>535</v>
      </c>
      <c r="E765" s="481">
        <v>11</v>
      </c>
      <c r="F765" s="99" t="s">
        <v>534</v>
      </c>
      <c r="H765" s="99">
        <f>'Справка 6'!N15</f>
        <v>294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49">
        <f t="shared" si="47"/>
        <v>43100</v>
      </c>
      <c r="D766" s="99" t="s">
        <v>537</v>
      </c>
      <c r="E766" s="481">
        <v>11</v>
      </c>
      <c r="F766" s="99" t="s">
        <v>536</v>
      </c>
      <c r="H766" s="99">
        <f>'Справка 6'!N16</f>
        <v>33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49">
        <f t="shared" si="47"/>
        <v>43100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49">
        <f t="shared" si="47"/>
        <v>43100</v>
      </c>
      <c r="D768" s="99" t="s">
        <v>543</v>
      </c>
      <c r="E768" s="481">
        <v>11</v>
      </c>
      <c r="F768" s="99" t="s">
        <v>542</v>
      </c>
      <c r="H768" s="99">
        <f>'Справка 6'!N18</f>
        <v>24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49">
        <f t="shared" si="47"/>
        <v>43100</v>
      </c>
      <c r="D769" s="99" t="s">
        <v>545</v>
      </c>
      <c r="E769" s="481">
        <v>11</v>
      </c>
      <c r="F769" s="99" t="s">
        <v>804</v>
      </c>
      <c r="H769" s="99">
        <f>'Справка 6'!N19</f>
        <v>541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49">
        <f t="shared" si="47"/>
        <v>43100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49">
        <f t="shared" si="47"/>
        <v>43100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49">
        <f t="shared" si="47"/>
        <v>43100</v>
      </c>
      <c r="D772" s="99" t="s">
        <v>553</v>
      </c>
      <c r="E772" s="481">
        <v>11</v>
      </c>
      <c r="F772" s="99" t="s">
        <v>552</v>
      </c>
      <c r="H772" s="99">
        <f>'Справка 6'!N23</f>
        <v>41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49">
        <f t="shared" si="47"/>
        <v>43100</v>
      </c>
      <c r="D773" s="99" t="s">
        <v>555</v>
      </c>
      <c r="E773" s="481">
        <v>11</v>
      </c>
      <c r="F773" s="99" t="s">
        <v>554</v>
      </c>
      <c r="H773" s="99">
        <f>'Справка 6'!N24</f>
        <v>13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49">
        <f t="shared" si="47"/>
        <v>43100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49">
        <f t="shared" si="47"/>
        <v>43100</v>
      </c>
      <c r="D775" s="99" t="s">
        <v>558</v>
      </c>
      <c r="E775" s="481">
        <v>11</v>
      </c>
      <c r="F775" s="99" t="s">
        <v>542</v>
      </c>
      <c r="H775" s="99">
        <f>'Справка 6'!N26</f>
        <v>21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49">
        <f t="shared" si="47"/>
        <v>43100</v>
      </c>
      <c r="D776" s="99" t="s">
        <v>560</v>
      </c>
      <c r="E776" s="481">
        <v>11</v>
      </c>
      <c r="F776" s="99" t="s">
        <v>838</v>
      </c>
      <c r="H776" s="99">
        <f>'Справка 6'!N27</f>
        <v>75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49">
        <f t="shared" si="47"/>
        <v>43100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49">
        <f t="shared" si="47"/>
        <v>43100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49">
        <f t="shared" si="47"/>
        <v>43100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49">
        <f t="shared" si="47"/>
        <v>43100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49">
        <f aca="true" t="shared" si="50" ref="C781:C844">endDate</f>
        <v>43100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49">
        <f t="shared" si="50"/>
        <v>43100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49">
        <f t="shared" si="50"/>
        <v>43100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49">
        <f t="shared" si="50"/>
        <v>43100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49">
        <f t="shared" si="50"/>
        <v>43100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49">
        <f t="shared" si="50"/>
        <v>43100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49">
        <f t="shared" si="50"/>
        <v>43100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49">
        <f t="shared" si="50"/>
        <v>43100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49">
        <f t="shared" si="50"/>
        <v>43100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49">
        <f t="shared" si="50"/>
        <v>43100</v>
      </c>
      <c r="D790" s="99" t="s">
        <v>583</v>
      </c>
      <c r="E790" s="481">
        <v>11</v>
      </c>
      <c r="F790" s="99" t="s">
        <v>582</v>
      </c>
      <c r="H790" s="99">
        <f>'Справка 6'!N42</f>
        <v>616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49">
        <f t="shared" si="50"/>
        <v>43100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49">
        <f t="shared" si="50"/>
        <v>43100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49">
        <f t="shared" si="50"/>
        <v>43100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49">
        <f t="shared" si="50"/>
        <v>43100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49">
        <f t="shared" si="50"/>
        <v>43100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49">
        <f t="shared" si="50"/>
        <v>43100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49">
        <f t="shared" si="50"/>
        <v>43100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49">
        <f t="shared" si="50"/>
        <v>43100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49">
        <f t="shared" si="50"/>
        <v>43100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49">
        <f t="shared" si="50"/>
        <v>43100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49">
        <f t="shared" si="50"/>
        <v>43100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49">
        <f t="shared" si="50"/>
        <v>43100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49">
        <f t="shared" si="50"/>
        <v>43100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49">
        <f t="shared" si="50"/>
        <v>43100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49">
        <f t="shared" si="50"/>
        <v>43100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49">
        <f t="shared" si="50"/>
        <v>43100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49">
        <f t="shared" si="50"/>
        <v>43100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49">
        <f t="shared" si="50"/>
        <v>43100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49">
        <f t="shared" si="50"/>
        <v>43100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49">
        <f t="shared" si="50"/>
        <v>43100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49">
        <f t="shared" si="50"/>
        <v>43100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49">
        <f t="shared" si="50"/>
        <v>43100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49">
        <f t="shared" si="50"/>
        <v>43100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49">
        <f t="shared" si="50"/>
        <v>43100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49">
        <f t="shared" si="50"/>
        <v>43100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49">
        <f t="shared" si="50"/>
        <v>43100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49">
        <f t="shared" si="50"/>
        <v>43100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49">
        <f t="shared" si="50"/>
        <v>43100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49">
        <f t="shared" si="50"/>
        <v>43100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49">
        <f t="shared" si="50"/>
        <v>43100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49">
        <f t="shared" si="50"/>
        <v>43100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49">
        <f t="shared" si="50"/>
        <v>43100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49">
        <f t="shared" si="50"/>
        <v>43100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49">
        <f t="shared" si="50"/>
        <v>43100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49">
        <f t="shared" si="50"/>
        <v>43100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49">
        <f t="shared" si="50"/>
        <v>43100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49">
        <f t="shared" si="50"/>
        <v>43100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49">
        <f t="shared" si="50"/>
        <v>43100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49">
        <f t="shared" si="50"/>
        <v>43100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49">
        <f t="shared" si="50"/>
        <v>43100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49">
        <f t="shared" si="50"/>
        <v>43100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49">
        <f t="shared" si="50"/>
        <v>43100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49">
        <f t="shared" si="50"/>
        <v>43100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49">
        <f t="shared" si="50"/>
        <v>43100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49">
        <f t="shared" si="50"/>
        <v>43100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49">
        <f t="shared" si="50"/>
        <v>43100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49">
        <f t="shared" si="50"/>
        <v>43100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49">
        <f t="shared" si="50"/>
        <v>43100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49">
        <f t="shared" si="50"/>
        <v>43100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49">
        <f t="shared" si="50"/>
        <v>43100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49">
        <f t="shared" si="50"/>
        <v>43100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49">
        <f t="shared" si="50"/>
        <v>43100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49">
        <f t="shared" si="50"/>
        <v>43100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49">
        <f t="shared" si="50"/>
        <v>43100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49">
        <f aca="true" t="shared" si="53" ref="C845:C910">endDate</f>
        <v>43100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49">
        <f t="shared" si="53"/>
        <v>43100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49">
        <f t="shared" si="53"/>
        <v>43100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49">
        <f t="shared" si="53"/>
        <v>43100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49">
        <f t="shared" si="53"/>
        <v>43100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49">
        <f t="shared" si="53"/>
        <v>43100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49">
        <f t="shared" si="53"/>
        <v>43100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49">
        <f t="shared" si="53"/>
        <v>43100</v>
      </c>
      <c r="D852" s="99" t="s">
        <v>526</v>
      </c>
      <c r="E852" s="481">
        <v>14</v>
      </c>
      <c r="F852" s="99" t="s">
        <v>525</v>
      </c>
      <c r="H852" s="99">
        <f>'Справка 6'!Q12</f>
        <v>129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49">
        <f t="shared" si="53"/>
        <v>43100</v>
      </c>
      <c r="D853" s="99" t="s">
        <v>529</v>
      </c>
      <c r="E853" s="481">
        <v>14</v>
      </c>
      <c r="F853" s="99" t="s">
        <v>528</v>
      </c>
      <c r="H853" s="99">
        <f>'Справка 6'!Q13</f>
        <v>61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49">
        <f t="shared" si="53"/>
        <v>43100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49">
        <f t="shared" si="53"/>
        <v>43100</v>
      </c>
      <c r="D855" s="99" t="s">
        <v>535</v>
      </c>
      <c r="E855" s="481">
        <v>14</v>
      </c>
      <c r="F855" s="99" t="s">
        <v>534</v>
      </c>
      <c r="H855" s="99">
        <f>'Справка 6'!Q15</f>
        <v>294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49">
        <f t="shared" si="53"/>
        <v>43100</v>
      </c>
      <c r="D856" s="99" t="s">
        <v>537</v>
      </c>
      <c r="E856" s="481">
        <v>14</v>
      </c>
      <c r="F856" s="99" t="s">
        <v>536</v>
      </c>
      <c r="H856" s="99">
        <f>'Справка 6'!Q16</f>
        <v>33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49">
        <f t="shared" si="53"/>
        <v>43100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49">
        <f t="shared" si="53"/>
        <v>43100</v>
      </c>
      <c r="D858" s="99" t="s">
        <v>543</v>
      </c>
      <c r="E858" s="481">
        <v>14</v>
      </c>
      <c r="F858" s="99" t="s">
        <v>542</v>
      </c>
      <c r="H858" s="99">
        <f>'Справка 6'!Q18</f>
        <v>24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49">
        <f t="shared" si="53"/>
        <v>43100</v>
      </c>
      <c r="D859" s="99" t="s">
        <v>545</v>
      </c>
      <c r="E859" s="481">
        <v>14</v>
      </c>
      <c r="F859" s="99" t="s">
        <v>804</v>
      </c>
      <c r="H859" s="99">
        <f>'Справка 6'!Q19</f>
        <v>541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49">
        <f t="shared" si="53"/>
        <v>43100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49">
        <f t="shared" si="53"/>
        <v>43100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49">
        <f t="shared" si="53"/>
        <v>43100</v>
      </c>
      <c r="D862" s="99" t="s">
        <v>553</v>
      </c>
      <c r="E862" s="481">
        <v>14</v>
      </c>
      <c r="F862" s="99" t="s">
        <v>552</v>
      </c>
      <c r="H862" s="99">
        <f>'Справка 6'!Q23</f>
        <v>41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49">
        <f t="shared" si="53"/>
        <v>43100</v>
      </c>
      <c r="D863" s="99" t="s">
        <v>555</v>
      </c>
      <c r="E863" s="481">
        <v>14</v>
      </c>
      <c r="F863" s="99" t="s">
        <v>554</v>
      </c>
      <c r="H863" s="99">
        <f>'Справка 6'!Q24</f>
        <v>13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49">
        <f t="shared" si="53"/>
        <v>43100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49">
        <f t="shared" si="53"/>
        <v>43100</v>
      </c>
      <c r="D865" s="99" t="s">
        <v>558</v>
      </c>
      <c r="E865" s="481">
        <v>14</v>
      </c>
      <c r="F865" s="99" t="s">
        <v>542</v>
      </c>
      <c r="H865" s="99">
        <f>'Справка 6'!Q26</f>
        <v>21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49">
        <f t="shared" si="53"/>
        <v>43100</v>
      </c>
      <c r="D866" s="99" t="s">
        <v>560</v>
      </c>
      <c r="E866" s="481">
        <v>14</v>
      </c>
      <c r="F866" s="99" t="s">
        <v>838</v>
      </c>
      <c r="H866" s="99">
        <f>'Справка 6'!Q27</f>
        <v>75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49">
        <f t="shared" si="53"/>
        <v>43100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49">
        <f t="shared" si="53"/>
        <v>43100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49">
        <f t="shared" si="53"/>
        <v>43100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49">
        <f t="shared" si="53"/>
        <v>43100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49">
        <f t="shared" si="53"/>
        <v>43100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49">
        <f t="shared" si="53"/>
        <v>43100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49">
        <f t="shared" si="53"/>
        <v>43100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49">
        <f t="shared" si="53"/>
        <v>43100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49">
        <f t="shared" si="53"/>
        <v>43100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49">
        <f t="shared" si="53"/>
        <v>43100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49">
        <f t="shared" si="53"/>
        <v>43100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49">
        <f t="shared" si="53"/>
        <v>43100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49">
        <f t="shared" si="53"/>
        <v>43100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49">
        <f t="shared" si="53"/>
        <v>43100</v>
      </c>
      <c r="D880" s="99" t="s">
        <v>583</v>
      </c>
      <c r="E880" s="481">
        <v>14</v>
      </c>
      <c r="F880" s="99" t="s">
        <v>582</v>
      </c>
      <c r="H880" s="99">
        <f>'Справка 6'!Q42</f>
        <v>616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49">
        <f t="shared" si="53"/>
        <v>43100</v>
      </c>
      <c r="D881" s="99" t="s">
        <v>523</v>
      </c>
      <c r="E881" s="481">
        <v>15</v>
      </c>
      <c r="F881" s="99" t="s">
        <v>522</v>
      </c>
      <c r="H881" s="99">
        <f>'Справка 6'!R11</f>
        <v>510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49">
        <f t="shared" si="53"/>
        <v>43100</v>
      </c>
      <c r="D882" s="99" t="s">
        <v>526</v>
      </c>
      <c r="E882" s="481">
        <v>15</v>
      </c>
      <c r="F882" s="99" t="s">
        <v>525</v>
      </c>
      <c r="H882" s="99">
        <f>'Справка 6'!R12</f>
        <v>727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49">
        <f t="shared" si="53"/>
        <v>43100</v>
      </c>
      <c r="D883" s="99" t="s">
        <v>529</v>
      </c>
      <c r="E883" s="481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49">
        <f t="shared" si="53"/>
        <v>43100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49">
        <f t="shared" si="53"/>
        <v>43100</v>
      </c>
      <c r="D885" s="99" t="s">
        <v>535</v>
      </c>
      <c r="E885" s="481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49">
        <f t="shared" si="53"/>
        <v>43100</v>
      </c>
      <c r="D886" s="99" t="s">
        <v>537</v>
      </c>
      <c r="E886" s="481">
        <v>15</v>
      </c>
      <c r="F886" s="99" t="s">
        <v>536</v>
      </c>
      <c r="H886" s="99">
        <f>'Справка 6'!R16</f>
        <v>15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49">
        <f t="shared" si="53"/>
        <v>43100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49">
        <f t="shared" si="53"/>
        <v>43100</v>
      </c>
      <c r="D888" s="99" t="s">
        <v>543</v>
      </c>
      <c r="E888" s="481">
        <v>15</v>
      </c>
      <c r="F888" s="99" t="s">
        <v>542</v>
      </c>
      <c r="H888" s="99">
        <f>'Справка 6'!R18</f>
        <v>332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49">
        <f t="shared" si="53"/>
        <v>43100</v>
      </c>
      <c r="D889" s="99" t="s">
        <v>545</v>
      </c>
      <c r="E889" s="481">
        <v>15</v>
      </c>
      <c r="F889" s="99" t="s">
        <v>804</v>
      </c>
      <c r="H889" s="99">
        <f>'Справка 6'!R19</f>
        <v>1588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49">
        <f t="shared" si="53"/>
        <v>43100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49">
        <f t="shared" si="53"/>
        <v>43100</v>
      </c>
      <c r="D891" s="99" t="s">
        <v>549</v>
      </c>
      <c r="E891" s="481">
        <v>15</v>
      </c>
      <c r="F891" s="99" t="s">
        <v>548</v>
      </c>
      <c r="H891" s="99">
        <f>'Справка 6'!R21</f>
        <v>173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49">
        <f t="shared" si="53"/>
        <v>43100</v>
      </c>
      <c r="D892" s="99" t="s">
        <v>553</v>
      </c>
      <c r="E892" s="481">
        <v>15</v>
      </c>
      <c r="F892" s="99" t="s">
        <v>552</v>
      </c>
      <c r="H892" s="99">
        <f>'Справка 6'!R23</f>
        <v>3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49">
        <f t="shared" si="53"/>
        <v>43100</v>
      </c>
      <c r="D893" s="99" t="s">
        <v>555</v>
      </c>
      <c r="E893" s="481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49">
        <f t="shared" si="53"/>
        <v>43100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49">
        <f t="shared" si="53"/>
        <v>43100</v>
      </c>
      <c r="D895" s="99" t="s">
        <v>558</v>
      </c>
      <c r="E895" s="481">
        <v>15</v>
      </c>
      <c r="F895" s="99" t="s">
        <v>542</v>
      </c>
      <c r="H895" s="99">
        <f>'Справка 6'!R26</f>
        <v>6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49">
        <f t="shared" si="53"/>
        <v>43100</v>
      </c>
      <c r="D896" s="99" t="s">
        <v>560</v>
      </c>
      <c r="E896" s="481">
        <v>15</v>
      </c>
      <c r="F896" s="99" t="s">
        <v>838</v>
      </c>
      <c r="H896" s="99">
        <f>'Справка 6'!R27</f>
        <v>11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49">
        <f t="shared" si="53"/>
        <v>43100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49">
        <f t="shared" si="53"/>
        <v>43100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49">
        <f t="shared" si="53"/>
        <v>43100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49">
        <f t="shared" si="53"/>
        <v>43100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49">
        <f t="shared" si="53"/>
        <v>43100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49">
        <f t="shared" si="53"/>
        <v>43100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49">
        <f t="shared" si="53"/>
        <v>43100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49">
        <f t="shared" si="53"/>
        <v>43100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49">
        <f t="shared" si="53"/>
        <v>43100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49">
        <f t="shared" si="53"/>
        <v>43100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49">
        <f t="shared" si="53"/>
        <v>43100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49">
        <f t="shared" si="53"/>
        <v>43100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49">
        <f t="shared" si="53"/>
        <v>43100</v>
      </c>
      <c r="D909" s="99" t="s">
        <v>581</v>
      </c>
      <c r="E909" s="481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49">
        <f t="shared" si="53"/>
        <v>43100</v>
      </c>
      <c r="D910" s="99" t="s">
        <v>583</v>
      </c>
      <c r="E910" s="481">
        <v>15</v>
      </c>
      <c r="F910" s="99" t="s">
        <v>582</v>
      </c>
      <c r="H910" s="99">
        <f>'Справка 6'!R42</f>
        <v>1778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49">
        <f aca="true" t="shared" si="56" ref="C912:C975">endDate</f>
        <v>43100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49">
        <f t="shared" si="56"/>
        <v>43100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49">
        <f t="shared" si="56"/>
        <v>43100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49">
        <f t="shared" si="56"/>
        <v>43100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49">
        <f t="shared" si="56"/>
        <v>43100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49">
        <f t="shared" si="56"/>
        <v>43100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49">
        <f t="shared" si="56"/>
        <v>43100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49">
        <f t="shared" si="56"/>
        <v>43100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49">
        <f t="shared" si="56"/>
        <v>43100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49">
        <f t="shared" si="56"/>
        <v>43100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49">
        <f t="shared" si="56"/>
        <v>43100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259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49">
        <f t="shared" si="56"/>
        <v>43100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486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49">
        <f t="shared" si="56"/>
        <v>43100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49">
        <f t="shared" si="56"/>
        <v>43100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304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49">
        <f t="shared" si="56"/>
        <v>43100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182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49">
        <f t="shared" si="56"/>
        <v>43100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143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49">
        <f t="shared" si="56"/>
        <v>43100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39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49">
        <f t="shared" si="56"/>
        <v>43100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49">
        <f t="shared" si="56"/>
        <v>43100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49">
        <f t="shared" si="56"/>
        <v>43100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49">
        <f t="shared" si="56"/>
        <v>43100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49">
        <f t="shared" si="56"/>
        <v>43100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49">
        <f t="shared" si="56"/>
        <v>43100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49">
        <f t="shared" si="56"/>
        <v>43100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49">
        <f t="shared" si="56"/>
        <v>43100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49">
        <f t="shared" si="56"/>
        <v>43100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49">
        <f t="shared" si="56"/>
        <v>43100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49">
        <f t="shared" si="56"/>
        <v>43100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49">
        <f t="shared" si="56"/>
        <v>43100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49">
        <f t="shared" si="56"/>
        <v>43100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49">
        <f t="shared" si="56"/>
        <v>43100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668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49">
        <f t="shared" si="56"/>
        <v>43100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927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49">
        <f t="shared" si="56"/>
        <v>43100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49">
        <f t="shared" si="56"/>
        <v>43100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49">
        <f t="shared" si="56"/>
        <v>43100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49">
        <f t="shared" si="56"/>
        <v>43100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49">
        <f t="shared" si="56"/>
        <v>43100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49">
        <f t="shared" si="56"/>
        <v>43100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49">
        <f t="shared" si="56"/>
        <v>43100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49">
        <f t="shared" si="56"/>
        <v>43100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49">
        <f t="shared" si="56"/>
        <v>43100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49">
        <f t="shared" si="56"/>
        <v>43100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49">
        <f t="shared" si="56"/>
        <v>43100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49">
        <f t="shared" si="56"/>
        <v>43100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486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49">
        <f t="shared" si="56"/>
        <v>43100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49">
        <f t="shared" si="56"/>
        <v>43100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304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49">
        <f t="shared" si="56"/>
        <v>43100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182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49">
        <f t="shared" si="56"/>
        <v>43100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143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49">
        <f t="shared" si="56"/>
        <v>43100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39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49">
        <f t="shared" si="56"/>
        <v>43100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49">
        <f t="shared" si="56"/>
        <v>43100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49">
        <f t="shared" si="56"/>
        <v>43100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49">
        <f t="shared" si="56"/>
        <v>43100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49">
        <f t="shared" si="56"/>
        <v>43100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49">
        <f t="shared" si="56"/>
        <v>43100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49">
        <f t="shared" si="56"/>
        <v>43100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49">
        <f t="shared" si="56"/>
        <v>43100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49">
        <f t="shared" si="56"/>
        <v>43100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49">
        <f t="shared" si="56"/>
        <v>43100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49">
        <f t="shared" si="56"/>
        <v>43100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49">
        <f t="shared" si="56"/>
        <v>43100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49">
        <f t="shared" si="56"/>
        <v>43100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49">
        <f t="shared" si="56"/>
        <v>43100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668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49">
        <f t="shared" si="56"/>
        <v>43100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668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49">
        <f aca="true" t="shared" si="59" ref="C976:C1039">endDate</f>
        <v>43100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49">
        <f t="shared" si="59"/>
        <v>43100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49">
        <f t="shared" si="59"/>
        <v>43100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49">
        <f t="shared" si="59"/>
        <v>43100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49">
        <f t="shared" si="59"/>
        <v>43100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49">
        <f t="shared" si="59"/>
        <v>43100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49">
        <f t="shared" si="59"/>
        <v>43100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49">
        <f t="shared" si="59"/>
        <v>43100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49">
        <f t="shared" si="59"/>
        <v>43100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49">
        <f t="shared" si="59"/>
        <v>43100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49">
        <f t="shared" si="59"/>
        <v>43100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259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49">
        <f t="shared" si="59"/>
        <v>43100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49">
        <f t="shared" si="59"/>
        <v>43100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49">
        <f t="shared" si="59"/>
        <v>43100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49">
        <f t="shared" si="59"/>
        <v>43100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49">
        <f t="shared" si="59"/>
        <v>43100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49">
        <f t="shared" si="59"/>
        <v>43100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49">
        <f t="shared" si="59"/>
        <v>43100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49">
        <f t="shared" si="59"/>
        <v>43100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49">
        <f t="shared" si="59"/>
        <v>43100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49">
        <f t="shared" si="59"/>
        <v>43100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49">
        <f t="shared" si="59"/>
        <v>43100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49">
        <f t="shared" si="59"/>
        <v>43100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49">
        <f t="shared" si="59"/>
        <v>43100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49">
        <f t="shared" si="59"/>
        <v>43100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49">
        <f t="shared" si="59"/>
        <v>43100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49">
        <f t="shared" si="59"/>
        <v>43100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49">
        <f t="shared" si="59"/>
        <v>43100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49">
        <f t="shared" si="59"/>
        <v>43100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49">
        <f t="shared" si="59"/>
        <v>43100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49">
        <f t="shared" si="59"/>
        <v>43100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49">
        <f t="shared" si="59"/>
        <v>43100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259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49">
        <f t="shared" si="59"/>
        <v>43100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49">
        <f t="shared" si="59"/>
        <v>43100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49">
        <f t="shared" si="59"/>
        <v>43100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49">
        <f t="shared" si="59"/>
        <v>43100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49">
        <f t="shared" si="59"/>
        <v>43100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49">
        <f t="shared" si="59"/>
        <v>43100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49">
        <f t="shared" si="59"/>
        <v>43100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49">
        <f t="shared" si="59"/>
        <v>43100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49">
        <f t="shared" si="59"/>
        <v>43100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49">
        <f t="shared" si="59"/>
        <v>43100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49">
        <f t="shared" si="59"/>
        <v>43100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49">
        <f t="shared" si="59"/>
        <v>43100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49">
        <f t="shared" si="59"/>
        <v>43100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49">
        <f t="shared" si="59"/>
        <v>43100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49">
        <f t="shared" si="59"/>
        <v>43100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11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49">
        <f t="shared" si="59"/>
        <v>43100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55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49">
        <f t="shared" si="59"/>
        <v>43100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221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49">
        <f t="shared" si="59"/>
        <v>43100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207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49">
        <f t="shared" si="59"/>
        <v>43100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49">
        <f t="shared" si="59"/>
        <v>43100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14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49">
        <f t="shared" si="59"/>
        <v>43100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1286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49">
        <f t="shared" si="59"/>
        <v>43100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1286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49">
        <f t="shared" si="59"/>
        <v>43100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1286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49">
        <f t="shared" si="59"/>
        <v>43100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49">
        <f t="shared" si="59"/>
        <v>43100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49">
        <f t="shared" si="59"/>
        <v>43100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49">
        <f t="shared" si="59"/>
        <v>43100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49">
        <f t="shared" si="59"/>
        <v>43100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49">
        <f t="shared" si="59"/>
        <v>43100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49">
        <f t="shared" si="59"/>
        <v>43100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49">
        <f t="shared" si="59"/>
        <v>43100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2175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49">
        <f t="shared" si="59"/>
        <v>43100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816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49">
        <f aca="true" t="shared" si="62" ref="C1040:C1103">endDate</f>
        <v>43100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804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49">
        <f t="shared" si="62"/>
        <v>43100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145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49">
        <f t="shared" si="62"/>
        <v>43100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33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49">
        <f t="shared" si="62"/>
        <v>43100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251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49">
        <f t="shared" si="62"/>
        <v>43100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49">
        <f t="shared" si="62"/>
        <v>43100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135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49">
        <f t="shared" si="62"/>
        <v>43100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116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49">
        <f t="shared" si="62"/>
        <v>43100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126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49">
        <f t="shared" si="62"/>
        <v>43100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49">
        <f t="shared" si="62"/>
        <v>43100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3682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49">
        <f t="shared" si="62"/>
        <v>43100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3748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49">
        <f t="shared" si="62"/>
        <v>43100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49">
        <f t="shared" si="62"/>
        <v>43100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49">
        <f t="shared" si="62"/>
        <v>43100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49">
        <f t="shared" si="62"/>
        <v>43100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49">
        <f t="shared" si="62"/>
        <v>43100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49">
        <f t="shared" si="62"/>
        <v>43100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49">
        <f t="shared" si="62"/>
        <v>43100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49">
        <f t="shared" si="62"/>
        <v>43100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49">
        <f t="shared" si="62"/>
        <v>43100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49">
        <f t="shared" si="62"/>
        <v>43100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49">
        <f t="shared" si="62"/>
        <v>43100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49">
        <f t="shared" si="62"/>
        <v>43100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49">
        <f t="shared" si="62"/>
        <v>43100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49">
        <f t="shared" si="62"/>
        <v>43100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49">
        <f t="shared" si="62"/>
        <v>43100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49">
        <f t="shared" si="62"/>
        <v>43100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49">
        <f t="shared" si="62"/>
        <v>43100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221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49">
        <f t="shared" si="62"/>
        <v>43100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207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49">
        <f t="shared" si="62"/>
        <v>43100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49">
        <f t="shared" si="62"/>
        <v>43100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14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49">
        <f t="shared" si="62"/>
        <v>43100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1286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49">
        <f t="shared" si="62"/>
        <v>43100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1286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49">
        <f t="shared" si="62"/>
        <v>43100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1286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49">
        <f t="shared" si="62"/>
        <v>43100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49">
        <f t="shared" si="62"/>
        <v>43100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49">
        <f t="shared" si="62"/>
        <v>43100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49">
        <f t="shared" si="62"/>
        <v>43100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49">
        <f t="shared" si="62"/>
        <v>43100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49">
        <f t="shared" si="62"/>
        <v>43100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49">
        <f t="shared" si="62"/>
        <v>43100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49">
        <f t="shared" si="62"/>
        <v>43100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2175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49">
        <f t="shared" si="62"/>
        <v>43100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816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49">
        <f t="shared" si="62"/>
        <v>43100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804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49">
        <f t="shared" si="62"/>
        <v>43100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145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49">
        <f t="shared" si="62"/>
        <v>43100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33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49">
        <f t="shared" si="62"/>
        <v>43100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251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49">
        <f t="shared" si="62"/>
        <v>43100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49">
        <f t="shared" si="62"/>
        <v>43100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135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49">
        <f t="shared" si="62"/>
        <v>43100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116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49">
        <f t="shared" si="62"/>
        <v>43100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126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49">
        <f t="shared" si="62"/>
        <v>43100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49">
        <f t="shared" si="62"/>
        <v>43100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3682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49">
        <f t="shared" si="62"/>
        <v>43100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3682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49">
        <f t="shared" si="62"/>
        <v>43100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49">
        <f t="shared" si="62"/>
        <v>43100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49">
        <f t="shared" si="62"/>
        <v>43100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49">
        <f t="shared" si="62"/>
        <v>43100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49">
        <f t="shared" si="62"/>
        <v>43100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49">
        <f t="shared" si="62"/>
        <v>43100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49">
        <f t="shared" si="62"/>
        <v>43100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49">
        <f t="shared" si="62"/>
        <v>43100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49">
        <f t="shared" si="62"/>
        <v>43100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49">
        <f t="shared" si="62"/>
        <v>43100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49">
        <f aca="true" t="shared" si="65" ref="C1104:C1167">endDate</f>
        <v>43100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49">
        <f t="shared" si="65"/>
        <v>43100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49">
        <f t="shared" si="65"/>
        <v>43100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49">
        <f t="shared" si="65"/>
        <v>43100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49">
        <f t="shared" si="65"/>
        <v>43100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11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49">
        <f t="shared" si="65"/>
        <v>43100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55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49">
        <f t="shared" si="65"/>
        <v>43100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49">
        <f t="shared" si="65"/>
        <v>43100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49">
        <f t="shared" si="65"/>
        <v>43100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49">
        <f t="shared" si="65"/>
        <v>43100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49">
        <f t="shared" si="65"/>
        <v>43100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49">
        <f t="shared" si="65"/>
        <v>43100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49">
        <f t="shared" si="65"/>
        <v>43100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49">
        <f t="shared" si="65"/>
        <v>43100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49">
        <f t="shared" si="65"/>
        <v>43100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49">
        <f t="shared" si="65"/>
        <v>43100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49">
        <f t="shared" si="65"/>
        <v>43100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49">
        <f t="shared" si="65"/>
        <v>43100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49">
        <f t="shared" si="65"/>
        <v>43100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49">
        <f t="shared" si="65"/>
        <v>43100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49">
        <f t="shared" si="65"/>
        <v>43100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49">
        <f t="shared" si="65"/>
        <v>43100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49">
        <f t="shared" si="65"/>
        <v>43100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49">
        <f t="shared" si="65"/>
        <v>43100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49">
        <f t="shared" si="65"/>
        <v>43100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49">
        <f t="shared" si="65"/>
        <v>43100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49">
        <f t="shared" si="65"/>
        <v>43100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49">
        <f t="shared" si="65"/>
        <v>43100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49">
        <f t="shared" si="65"/>
        <v>43100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49">
        <f t="shared" si="65"/>
        <v>43100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49">
        <f t="shared" si="65"/>
        <v>43100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49">
        <f t="shared" si="65"/>
        <v>43100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49">
        <f t="shared" si="65"/>
        <v>43100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66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49">
        <f t="shared" si="65"/>
        <v>43100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49">
        <f t="shared" si="65"/>
        <v>43100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49">
        <f t="shared" si="65"/>
        <v>43100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49">
        <f t="shared" si="65"/>
        <v>43100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49">
        <f t="shared" si="65"/>
        <v>43100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49">
        <f t="shared" si="65"/>
        <v>43100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49">
        <f t="shared" si="65"/>
        <v>43100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49">
        <f t="shared" si="65"/>
        <v>43100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49">
        <f t="shared" si="65"/>
        <v>43100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49">
        <f t="shared" si="65"/>
        <v>43100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49">
        <f t="shared" si="65"/>
        <v>43100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49">
        <f t="shared" si="65"/>
        <v>43100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49">
        <f t="shared" si="65"/>
        <v>43100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49">
        <f t="shared" si="65"/>
        <v>43100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49">
        <f t="shared" si="65"/>
        <v>43100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49">
        <f t="shared" si="65"/>
        <v>43100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49">
        <f t="shared" si="65"/>
        <v>43100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49">
        <f t="shared" si="65"/>
        <v>43100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49">
        <f t="shared" si="65"/>
        <v>43100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49">
        <f t="shared" si="65"/>
        <v>43100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49">
        <f t="shared" si="65"/>
        <v>43100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49">
        <f t="shared" si="65"/>
        <v>43100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49">
        <f t="shared" si="65"/>
        <v>43100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49">
        <f t="shared" si="65"/>
        <v>43100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49">
        <f t="shared" si="65"/>
        <v>43100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49">
        <f t="shared" si="65"/>
        <v>43100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49">
        <f t="shared" si="65"/>
        <v>43100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49">
        <f t="shared" si="65"/>
        <v>43100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49">
        <f t="shared" si="65"/>
        <v>43100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49">
        <f t="shared" si="65"/>
        <v>43100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49">
        <f t="shared" si="65"/>
        <v>43100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49">
        <f aca="true" t="shared" si="68" ref="C1168:C1195">endDate</f>
        <v>43100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49">
        <f t="shared" si="68"/>
        <v>43100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49">
        <f t="shared" si="68"/>
        <v>43100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49">
        <f t="shared" si="68"/>
        <v>43100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49">
        <f t="shared" si="68"/>
        <v>43100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49">
        <f t="shared" si="68"/>
        <v>43100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49">
        <f t="shared" si="68"/>
        <v>43100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49">
        <f t="shared" si="68"/>
        <v>43100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49">
        <f t="shared" si="68"/>
        <v>43100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49">
        <f t="shared" si="68"/>
        <v>43100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49">
        <f t="shared" si="68"/>
        <v>43100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49">
        <f t="shared" si="68"/>
        <v>43100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49">
        <f t="shared" si="68"/>
        <v>43100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49">
        <f t="shared" si="68"/>
        <v>43100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49">
        <f t="shared" si="68"/>
        <v>43100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49">
        <f t="shared" si="68"/>
        <v>43100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49">
        <f t="shared" si="68"/>
        <v>43100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49">
        <f t="shared" si="68"/>
        <v>43100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49">
        <f t="shared" si="68"/>
        <v>43100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49">
        <f t="shared" si="68"/>
        <v>43100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49">
        <f t="shared" si="68"/>
        <v>43100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49">
        <f t="shared" si="68"/>
        <v>43100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49">
        <f t="shared" si="68"/>
        <v>43100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49">
        <f t="shared" si="68"/>
        <v>43100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49">
        <f t="shared" si="68"/>
        <v>43100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49">
        <f t="shared" si="68"/>
        <v>43100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49">
        <f t="shared" si="68"/>
        <v>43100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49">
        <f t="shared" si="68"/>
        <v>43100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49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49">
        <f t="shared" si="71"/>
        <v>43100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49">
        <f t="shared" si="71"/>
        <v>43100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49">
        <f t="shared" si="71"/>
        <v>43100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49">
        <f t="shared" si="71"/>
        <v>43100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49">
        <f t="shared" si="71"/>
        <v>43100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49">
        <f t="shared" si="71"/>
        <v>43100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49">
        <f t="shared" si="71"/>
        <v>43100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49">
        <f t="shared" si="71"/>
        <v>43100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49">
        <f t="shared" si="71"/>
        <v>43100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49">
        <f t="shared" si="71"/>
        <v>43100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49">
        <f t="shared" si="71"/>
        <v>43100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49">
        <f t="shared" si="71"/>
        <v>43100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49">
        <f t="shared" si="71"/>
        <v>43100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49">
        <f t="shared" si="71"/>
        <v>43100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49">
        <f t="shared" si="71"/>
        <v>43100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49">
        <f t="shared" si="71"/>
        <v>43100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49">
        <f t="shared" si="71"/>
        <v>43100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49">
        <f t="shared" si="71"/>
        <v>43100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49">
        <f t="shared" si="71"/>
        <v>43100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49">
        <f t="shared" si="71"/>
        <v>43100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49">
        <f t="shared" si="71"/>
        <v>43100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49">
        <f t="shared" si="71"/>
        <v>43100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49">
        <f t="shared" si="71"/>
        <v>43100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49">
        <f t="shared" si="71"/>
        <v>43100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49">
        <f t="shared" si="71"/>
        <v>43100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49">
        <f t="shared" si="71"/>
        <v>43100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49">
        <f t="shared" si="71"/>
        <v>43100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49">
        <f t="shared" si="71"/>
        <v>43100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49">
        <f t="shared" si="71"/>
        <v>43100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49">
        <f t="shared" si="71"/>
        <v>43100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49">
        <f t="shared" si="71"/>
        <v>43100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49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49">
        <f t="shared" si="74"/>
        <v>43100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49">
        <f t="shared" si="74"/>
        <v>43100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49">
        <f t="shared" si="74"/>
        <v>43100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49">
        <f t="shared" si="74"/>
        <v>43100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49">
        <f t="shared" si="74"/>
        <v>43100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49">
        <f t="shared" si="74"/>
        <v>43100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49">
        <f t="shared" si="74"/>
        <v>43100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49">
        <f t="shared" si="74"/>
        <v>43100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49">
        <f t="shared" si="74"/>
        <v>43100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49">
        <f t="shared" si="74"/>
        <v>43100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49">
        <f t="shared" si="74"/>
        <v>43100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49">
        <f t="shared" si="74"/>
        <v>43100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49">
        <f t="shared" si="74"/>
        <v>43100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49">
        <f t="shared" si="74"/>
        <v>43100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49">
        <f t="shared" si="74"/>
        <v>43100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49">
        <f t="shared" si="74"/>
        <v>43100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49">
        <f t="shared" si="74"/>
        <v>43100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49">
        <f t="shared" si="74"/>
        <v>43100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49">
        <f t="shared" si="74"/>
        <v>43100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49">
        <f t="shared" si="74"/>
        <v>43100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49">
        <f t="shared" si="74"/>
        <v>43100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49">
        <f t="shared" si="74"/>
        <v>43100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49">
        <f t="shared" si="74"/>
        <v>43100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49">
        <f t="shared" si="74"/>
        <v>43100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49">
        <f t="shared" si="74"/>
        <v>43100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49">
        <f t="shared" si="74"/>
        <v>43100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49">
        <f t="shared" si="74"/>
        <v>43100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49">
        <f t="shared" si="74"/>
        <v>43100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49">
        <f t="shared" si="74"/>
        <v>43100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49">
        <f t="shared" si="74"/>
        <v>43100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49">
        <f t="shared" si="74"/>
        <v>43100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49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49">
        <f t="shared" si="77"/>
        <v>43100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49">
        <f t="shared" si="77"/>
        <v>43100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49">
        <f t="shared" si="77"/>
        <v>43100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49">
        <f t="shared" si="77"/>
        <v>43100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49">
        <f t="shared" si="77"/>
        <v>43100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49">
        <f t="shared" si="77"/>
        <v>43100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49">
        <f t="shared" si="77"/>
        <v>43100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49">
        <f t="shared" si="77"/>
        <v>43100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49">
        <f t="shared" si="77"/>
        <v>43100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49">
        <f t="shared" si="77"/>
        <v>43100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49">
        <f t="shared" si="77"/>
        <v>43100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49">
        <f t="shared" si="77"/>
        <v>43100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49">
        <f t="shared" si="77"/>
        <v>43100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49">
        <f t="shared" si="77"/>
        <v>43100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49">
        <f t="shared" si="77"/>
        <v>43100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49">
        <f t="shared" si="77"/>
        <v>43100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49">
        <f t="shared" si="77"/>
        <v>43100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49">
        <f t="shared" si="77"/>
        <v>43100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49">
        <f t="shared" si="77"/>
        <v>43100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49">
        <f t="shared" si="77"/>
        <v>43100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49">
        <f t="shared" si="77"/>
        <v>43100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49">
        <f t="shared" si="77"/>
        <v>43100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49">
        <f t="shared" si="77"/>
        <v>43100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49">
        <f t="shared" si="77"/>
        <v>43100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49">
        <f t="shared" si="77"/>
        <v>43100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49">
        <f t="shared" si="77"/>
        <v>43100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49">
        <f t="shared" si="77"/>
        <v>43100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49">
        <f t="shared" si="77"/>
        <v>43100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49">
        <f t="shared" si="77"/>
        <v>43100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49">
        <f t="shared" si="77"/>
        <v>43100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49">
        <f t="shared" si="77"/>
        <v>43100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49">
        <f t="shared" si="77"/>
        <v>43100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49">
        <f t="shared" si="77"/>
        <v>43100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510</f>
        <v>510</v>
      </c>
      <c r="D12" s="188">
        <v>510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>
        <f>727</f>
        <v>727</v>
      </c>
      <c r="D13" s="188">
        <v>737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4</f>
        <v>4</v>
      </c>
      <c r="D16" s="188">
        <v>12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>
        <v>20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7">
        <f>G12+G15+G16+G17</f>
        <v>3400</v>
      </c>
      <c r="H18" s="578">
        <f>H12+H15+H16+H17</f>
        <v>3400</v>
      </c>
    </row>
    <row r="19" spans="1:8" ht="15.75">
      <c r="A19" s="84" t="s">
        <v>49</v>
      </c>
      <c r="B19" s="86" t="s">
        <v>50</v>
      </c>
      <c r="C19" s="188">
        <f>347</f>
        <v>347</v>
      </c>
      <c r="D19" s="188">
        <v>344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1588</v>
      </c>
      <c r="D20" s="566">
        <f>SUM(D12:D19)</f>
        <v>1623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f>210</f>
        <v>210</v>
      </c>
      <c r="H21" s="188">
        <v>214</v>
      </c>
    </row>
    <row r="22" spans="1:13" ht="15.75">
      <c r="A22" s="94" t="s">
        <v>60</v>
      </c>
      <c r="B22" s="91" t="s">
        <v>61</v>
      </c>
      <c r="C22" s="462">
        <v>173</v>
      </c>
      <c r="D22" s="462">
        <v>173</v>
      </c>
      <c r="E22" s="192" t="s">
        <v>62</v>
      </c>
      <c r="F22" s="87" t="s">
        <v>63</v>
      </c>
      <c r="G22" s="581">
        <f>SUM(G23:G25)</f>
        <v>409</v>
      </c>
      <c r="H22" s="582">
        <f>SUM(H23:H25)</f>
        <v>409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3</f>
        <v>3</v>
      </c>
      <c r="D24" s="188">
        <v>4</v>
      </c>
      <c r="E24" s="193" t="s">
        <v>69</v>
      </c>
      <c r="F24" s="87" t="s">
        <v>70</v>
      </c>
      <c r="G24" s="188">
        <v>409</v>
      </c>
      <c r="H24" s="188">
        <v>409</v>
      </c>
      <c r="M24" s="92"/>
    </row>
    <row r="25" spans="1:8" ht="15.75">
      <c r="A25" s="84" t="s">
        <v>71</v>
      </c>
      <c r="B25" s="86" t="s">
        <v>72</v>
      </c>
      <c r="C25" s="188">
        <f>2</f>
        <v>2</v>
      </c>
      <c r="D25" s="188">
        <v>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5">
        <f>G20+G21+G22</f>
        <v>619</v>
      </c>
      <c r="H26" s="566">
        <f>H20+H21+H22</f>
        <v>623</v>
      </c>
      <c r="M26" s="92"/>
    </row>
    <row r="27" spans="1:8" ht="15.75">
      <c r="A27" s="84" t="s">
        <v>79</v>
      </c>
      <c r="B27" s="86" t="s">
        <v>80</v>
      </c>
      <c r="C27" s="188">
        <f>6</f>
        <v>6</v>
      </c>
      <c r="D27" s="188">
        <v>8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11</v>
      </c>
      <c r="D28" s="566">
        <f>SUM(D24:D27)</f>
        <v>13</v>
      </c>
      <c r="E28" s="193" t="s">
        <v>84</v>
      </c>
      <c r="F28" s="87" t="s">
        <v>85</v>
      </c>
      <c r="G28" s="563">
        <f>SUM(G29:G31)</f>
        <v>-4132</v>
      </c>
      <c r="H28" s="564">
        <f>SUM(H29:H31)</f>
        <v>-3718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793</f>
        <v>793</v>
      </c>
      <c r="H29" s="188">
        <v>789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-4925</v>
      </c>
      <c r="H30" s="188">
        <v>-4507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7">
        <v>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6</v>
      </c>
      <c r="D33" s="566">
        <f>D31+D32</f>
        <v>6</v>
      </c>
      <c r="E33" s="191" t="s">
        <v>101</v>
      </c>
      <c r="F33" s="87" t="s">
        <v>102</v>
      </c>
      <c r="G33" s="188">
        <v>-333</v>
      </c>
      <c r="H33" s="188">
        <v>-418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-4465</v>
      </c>
      <c r="H34" s="566">
        <f>H28+H32+H33</f>
        <v>-4136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-446</v>
      </c>
      <c r="H37" s="568">
        <f>H26+H18+H34</f>
        <v>-113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>
        <v>1179</v>
      </c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</v>
      </c>
      <c r="H49" s="188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11</v>
      </c>
      <c r="H50" s="564">
        <f>SUM(H44:H49)</f>
        <v>1190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f>55</f>
        <v>55</v>
      </c>
      <c r="H54" s="188">
        <v>49</v>
      </c>
    </row>
    <row r="55" spans="1:8" ht="15.75">
      <c r="A55" s="94" t="s">
        <v>166</v>
      </c>
      <c r="B55" s="90" t="s">
        <v>167</v>
      </c>
      <c r="C55" s="464">
        <f>259</f>
        <v>259</v>
      </c>
      <c r="D55" s="464">
        <v>280</v>
      </c>
      <c r="E55" s="84" t="s">
        <v>168</v>
      </c>
      <c r="F55" s="89" t="s">
        <v>169</v>
      </c>
      <c r="G55" s="188">
        <f>244</f>
        <v>244</v>
      </c>
      <c r="H55" s="188">
        <v>252</v>
      </c>
    </row>
    <row r="56" spans="1:13" ht="16.5" thickBot="1">
      <c r="A56" s="461" t="s">
        <v>170</v>
      </c>
      <c r="B56" s="199" t="s">
        <v>171</v>
      </c>
      <c r="C56" s="569">
        <f>C20+C21+C22+C28+C33+C46+C52+C54+C55</f>
        <v>2037</v>
      </c>
      <c r="D56" s="570">
        <f>D20+D21+D22+D28+D33+D46+D52+D54+D55</f>
        <v>2095</v>
      </c>
      <c r="E56" s="94" t="s">
        <v>825</v>
      </c>
      <c r="F56" s="93" t="s">
        <v>172</v>
      </c>
      <c r="G56" s="567">
        <f>G50+G52+G53+G54+G55</f>
        <v>310</v>
      </c>
      <c r="H56" s="568">
        <f>H50+H52+H53+H54+H55</f>
        <v>1491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f>180</f>
        <v>180</v>
      </c>
      <c r="D59" s="188">
        <v>173</v>
      </c>
      <c r="E59" s="192" t="s">
        <v>180</v>
      </c>
      <c r="F59" s="472" t="s">
        <v>181</v>
      </c>
      <c r="G59" s="188">
        <f>1286</f>
        <v>1286</v>
      </c>
      <c r="H59" s="188">
        <v>41</v>
      </c>
    </row>
    <row r="60" spans="1:13" ht="15.75">
      <c r="A60" s="84" t="s">
        <v>178</v>
      </c>
      <c r="B60" s="86" t="s">
        <v>179</v>
      </c>
      <c r="C60" s="188">
        <f>110</f>
        <v>110</v>
      </c>
      <c r="D60" s="188">
        <v>189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f>76</f>
        <v>76</v>
      </c>
      <c r="D61" s="188">
        <v>75</v>
      </c>
      <c r="E61" s="191" t="s">
        <v>188</v>
      </c>
      <c r="F61" s="87" t="s">
        <v>189</v>
      </c>
      <c r="G61" s="563">
        <f>SUM(G62:G68)</f>
        <v>2396</v>
      </c>
      <c r="H61" s="564">
        <f>SUM(H62:H68)</f>
        <v>1836</v>
      </c>
    </row>
    <row r="62" spans="1:13" ht="15.75">
      <c r="A62" s="84" t="s">
        <v>186</v>
      </c>
      <c r="B62" s="88" t="s">
        <v>187</v>
      </c>
      <c r="C62" s="188">
        <f>476</f>
        <v>476</v>
      </c>
      <c r="D62" s="188">
        <v>332</v>
      </c>
      <c r="E62" s="191" t="s">
        <v>192</v>
      </c>
      <c r="F62" s="87" t="s">
        <v>193</v>
      </c>
      <c r="G62" s="188">
        <f>221</f>
        <v>221</v>
      </c>
      <c r="H62" s="188">
        <v>7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816</f>
        <v>816</v>
      </c>
      <c r="H63" s="188">
        <v>775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804</f>
        <v>804</v>
      </c>
      <c r="H64" s="188">
        <v>514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842</v>
      </c>
      <c r="D65" s="566">
        <f>SUM(D59:D64)</f>
        <v>769</v>
      </c>
      <c r="E65" s="84" t="s">
        <v>201</v>
      </c>
      <c r="F65" s="87" t="s">
        <v>202</v>
      </c>
      <c r="G65" s="188">
        <f>145</f>
        <v>145</v>
      </c>
      <c r="H65" s="188">
        <v>128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f>33</f>
        <v>33</v>
      </c>
      <c r="H66" s="188">
        <v>31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f>126</f>
        <v>126</v>
      </c>
      <c r="H67" s="188">
        <v>131</v>
      </c>
    </row>
    <row r="68" spans="1:8" ht="15.75">
      <c r="A68" s="84" t="s">
        <v>206</v>
      </c>
      <c r="B68" s="86" t="s">
        <v>207</v>
      </c>
      <c r="C68" s="188">
        <f>486</f>
        <v>486</v>
      </c>
      <c r="D68" s="188">
        <v>229</v>
      </c>
      <c r="E68" s="84" t="s">
        <v>212</v>
      </c>
      <c r="F68" s="87" t="s">
        <v>213</v>
      </c>
      <c r="G68" s="188">
        <f>251</f>
        <v>251</v>
      </c>
      <c r="H68" s="188">
        <v>250</v>
      </c>
    </row>
    <row r="69" spans="1:8" ht="15.75">
      <c r="A69" s="84" t="s">
        <v>210</v>
      </c>
      <c r="B69" s="86" t="s">
        <v>211</v>
      </c>
      <c r="C69" s="188">
        <f>143</f>
        <v>143</v>
      </c>
      <c r="D69" s="188">
        <v>112</v>
      </c>
      <c r="E69" s="192" t="s">
        <v>79</v>
      </c>
      <c r="F69" s="87" t="s">
        <v>216</v>
      </c>
      <c r="G69" s="188"/>
      <c r="H69" s="188"/>
    </row>
    <row r="70" spans="1:8" ht="15.75">
      <c r="A70" s="84" t="s">
        <v>214</v>
      </c>
      <c r="B70" s="86" t="s">
        <v>215</v>
      </c>
      <c r="C70" s="188">
        <f>39</f>
        <v>39</v>
      </c>
      <c r="D70" s="188">
        <v>37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3682</v>
      </c>
      <c r="H71" s="566">
        <f>H59+H60+H61+H69+H70</f>
        <v>1877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/>
      <c r="D75" s="188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668</v>
      </c>
      <c r="D76" s="566">
        <f>SUM(D68:D75)</f>
        <v>378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>
        <v>8</v>
      </c>
      <c r="H77" s="464">
        <v>8</v>
      </c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3690</v>
      </c>
      <c r="H79" s="568">
        <f>H71+H73+H75+H77</f>
        <v>1885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f>1</f>
        <v>1</v>
      </c>
      <c r="D88" s="188"/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f>4</f>
        <v>4</v>
      </c>
      <c r="D89" s="188">
        <v>19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5</v>
      </c>
      <c r="D92" s="566">
        <f>SUM(D88:D91)</f>
        <v>19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f>2</f>
        <v>2</v>
      </c>
      <c r="D93" s="465">
        <v>2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1517</v>
      </c>
      <c r="D94" s="570">
        <f>D65+D76+D85+D92+D93</f>
        <v>1168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3554</v>
      </c>
      <c r="D95" s="572">
        <f>D94+D56</f>
        <v>3263</v>
      </c>
      <c r="E95" s="220" t="s">
        <v>916</v>
      </c>
      <c r="F95" s="475" t="s">
        <v>268</v>
      </c>
      <c r="G95" s="571">
        <f>G37+G40+G56+G79</f>
        <v>3554</v>
      </c>
      <c r="H95" s="572">
        <f>H37+H40+H56+H79</f>
        <v>3263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7">
        <f>pdeReportingDate</f>
        <v>43159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Николай Димитров Колев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f>502</f>
        <v>502</v>
      </c>
      <c r="D12" s="306">
        <v>456</v>
      </c>
      <c r="E12" s="185" t="s">
        <v>277</v>
      </c>
      <c r="F12" s="231" t="s">
        <v>278</v>
      </c>
      <c r="G12" s="306">
        <f>1557</f>
        <v>1557</v>
      </c>
      <c r="H12" s="306">
        <v>1245</v>
      </c>
    </row>
    <row r="13" spans="1:8" ht="15.75">
      <c r="A13" s="185" t="s">
        <v>279</v>
      </c>
      <c r="B13" s="181" t="s">
        <v>280</v>
      </c>
      <c r="C13" s="306">
        <f>288</f>
        <v>288</v>
      </c>
      <c r="D13" s="306">
        <v>250</v>
      </c>
      <c r="E13" s="185" t="s">
        <v>281</v>
      </c>
      <c r="F13" s="231" t="s">
        <v>282</v>
      </c>
      <c r="G13" s="306">
        <f>16</f>
        <v>16</v>
      </c>
      <c r="H13" s="306">
        <v>7</v>
      </c>
    </row>
    <row r="14" spans="1:8" ht="15.75">
      <c r="A14" s="185" t="s">
        <v>283</v>
      </c>
      <c r="B14" s="181" t="s">
        <v>284</v>
      </c>
      <c r="C14" s="306">
        <f>39</f>
        <v>39</v>
      </c>
      <c r="D14" s="306">
        <v>92</v>
      </c>
      <c r="E14" s="236" t="s">
        <v>285</v>
      </c>
      <c r="F14" s="231" t="s">
        <v>286</v>
      </c>
      <c r="G14" s="306">
        <f>2</f>
        <v>2</v>
      </c>
      <c r="H14" s="306">
        <v>8</v>
      </c>
    </row>
    <row r="15" spans="1:8" ht="15.75">
      <c r="A15" s="185" t="s">
        <v>287</v>
      </c>
      <c r="B15" s="181" t="s">
        <v>288</v>
      </c>
      <c r="C15" s="306">
        <f>473</f>
        <v>473</v>
      </c>
      <c r="D15" s="306">
        <v>473</v>
      </c>
      <c r="E15" s="236" t="s">
        <v>79</v>
      </c>
      <c r="F15" s="231" t="s">
        <v>289</v>
      </c>
      <c r="G15" s="306">
        <f>25</f>
        <v>25</v>
      </c>
      <c r="H15" s="306">
        <v>514</v>
      </c>
    </row>
    <row r="16" spans="1:8" ht="15.75">
      <c r="A16" s="185" t="s">
        <v>290</v>
      </c>
      <c r="B16" s="181" t="s">
        <v>291</v>
      </c>
      <c r="C16" s="306">
        <f>63</f>
        <v>63</v>
      </c>
      <c r="D16" s="306">
        <v>61</v>
      </c>
      <c r="E16" s="227" t="s">
        <v>52</v>
      </c>
      <c r="F16" s="255" t="s">
        <v>292</v>
      </c>
      <c r="G16" s="596">
        <f>SUM(G12:G15)</f>
        <v>1600</v>
      </c>
      <c r="H16" s="597">
        <f>SUM(H12:H15)</f>
        <v>1774</v>
      </c>
    </row>
    <row r="17" spans="1:8" ht="31.5">
      <c r="A17" s="185" t="s">
        <v>293</v>
      </c>
      <c r="B17" s="181" t="s">
        <v>294</v>
      </c>
      <c r="C17" s="306">
        <f>33</f>
        <v>33</v>
      </c>
      <c r="D17" s="306">
        <v>297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f>216</f>
        <v>216</v>
      </c>
      <c r="D18" s="306">
        <v>224</v>
      </c>
      <c r="E18" s="225" t="s">
        <v>297</v>
      </c>
      <c r="F18" s="229" t="s">
        <v>298</v>
      </c>
      <c r="G18" s="607">
        <f>25</f>
        <v>25</v>
      </c>
      <c r="H18" s="607">
        <v>29</v>
      </c>
    </row>
    <row r="19" spans="1:8" ht="15.75">
      <c r="A19" s="185" t="s">
        <v>299</v>
      </c>
      <c r="B19" s="181" t="s">
        <v>300</v>
      </c>
      <c r="C19" s="306">
        <f>152</f>
        <v>152</v>
      </c>
      <c r="D19" s="306">
        <v>132</v>
      </c>
      <c r="E19" s="185" t="s">
        <v>301</v>
      </c>
      <c r="F19" s="228" t="s">
        <v>302</v>
      </c>
      <c r="G19" s="306">
        <f>25</f>
        <v>25</v>
      </c>
      <c r="H19" s="306">
        <v>29</v>
      </c>
    </row>
    <row r="20" spans="1:8" ht="15.75">
      <c r="A20" s="226" t="s">
        <v>303</v>
      </c>
      <c r="B20" s="181" t="s">
        <v>304</v>
      </c>
      <c r="C20" s="306">
        <f>132</f>
        <v>132</v>
      </c>
      <c r="D20" s="306">
        <v>99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1766</v>
      </c>
      <c r="D22" s="597">
        <f>SUM(D12:D18)+D19</f>
        <v>1985</v>
      </c>
      <c r="E22" s="185" t="s">
        <v>309</v>
      </c>
      <c r="F22" s="228" t="s">
        <v>310</v>
      </c>
      <c r="G22" s="306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/>
    </row>
    <row r="25" spans="1:8" ht="31.5">
      <c r="A25" s="185" t="s">
        <v>316</v>
      </c>
      <c r="B25" s="228" t="s">
        <v>317</v>
      </c>
      <c r="C25" s="306">
        <f>164</f>
        <v>164</v>
      </c>
      <c r="D25" s="306">
        <v>234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0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6">
        <f>1</f>
        <v>1</v>
      </c>
      <c r="D28" s="306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165</v>
      </c>
      <c r="D29" s="597">
        <f>SUM(D25:D28)</f>
        <v>239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1931</v>
      </c>
      <c r="D31" s="603">
        <f>D29+D22</f>
        <v>2224</v>
      </c>
      <c r="E31" s="242" t="s">
        <v>800</v>
      </c>
      <c r="F31" s="257" t="s">
        <v>331</v>
      </c>
      <c r="G31" s="244">
        <f>G16+G18+G27</f>
        <v>1625</v>
      </c>
      <c r="H31" s="245">
        <f>H16+H18+H27</f>
        <v>1803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306</v>
      </c>
      <c r="H33" s="597">
        <f>IF((D31-H31)&gt;0,D31-H31,0)</f>
        <v>421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1931</v>
      </c>
      <c r="D36" s="605">
        <f>D31-D34+D35</f>
        <v>2224</v>
      </c>
      <c r="E36" s="253" t="s">
        <v>346</v>
      </c>
      <c r="F36" s="247" t="s">
        <v>347</v>
      </c>
      <c r="G36" s="258">
        <f>G35-G34+G31</f>
        <v>1625</v>
      </c>
      <c r="H36" s="259">
        <f>H35-H34+H31</f>
        <v>1803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306</v>
      </c>
      <c r="H37" s="245">
        <f>IF((D36-H36)&gt;0,D36-H36,0)</f>
        <v>421</v>
      </c>
    </row>
    <row r="38" spans="1:8" ht="15.75">
      <c r="A38" s="225" t="s">
        <v>352</v>
      </c>
      <c r="B38" s="229" t="s">
        <v>353</v>
      </c>
      <c r="C38" s="596">
        <f>C39+C40+C41</f>
        <v>27</v>
      </c>
      <c r="D38" s="597">
        <f>D39+D40+D41</f>
        <v>-3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f>27</f>
        <v>27</v>
      </c>
      <c r="D40" s="306">
        <v>-3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333</v>
      </c>
      <c r="H42" s="235">
        <f>IF(H37&gt;0,IF(D38+H37&lt;0,0,D38+H37),IF(D37-D38&lt;0,D38-D37,0))</f>
        <v>418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333</v>
      </c>
      <c r="H44" s="259">
        <f>IF(D42=0,IF(H42-H43&gt;0,H42-H43+D43,0),IF(D42-D43&lt;0,D43-D42+H43,0))</f>
        <v>418</v>
      </c>
    </row>
    <row r="45" spans="1:8" ht="16.5" thickBot="1">
      <c r="A45" s="261" t="s">
        <v>371</v>
      </c>
      <c r="B45" s="262" t="s">
        <v>372</v>
      </c>
      <c r="C45" s="598">
        <f>C36+C38+C42</f>
        <v>1958</v>
      </c>
      <c r="D45" s="599">
        <f>D36+D38+D42</f>
        <v>2221</v>
      </c>
      <c r="E45" s="261" t="s">
        <v>373</v>
      </c>
      <c r="F45" s="263" t="s">
        <v>374</v>
      </c>
      <c r="G45" s="598">
        <f>G42+G36</f>
        <v>1958</v>
      </c>
      <c r="H45" s="599">
        <f>H42+H36</f>
        <v>2221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0" t="s">
        <v>951</v>
      </c>
      <c r="B47" s="670"/>
      <c r="C47" s="670"/>
      <c r="D47" s="670"/>
      <c r="E47" s="670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7">
        <f>pdeReportingDate</f>
        <v>43159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Николай Димитров Колев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952</v>
      </c>
      <c r="C55" s="666"/>
      <c r="D55" s="666"/>
      <c r="E55" s="666"/>
      <c r="F55" s="542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2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2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2"/>
      <c r="G58" s="44"/>
      <c r="H58" s="41"/>
    </row>
    <row r="59" spans="1:8" ht="15.75">
      <c r="A59" s="661"/>
      <c r="B59" s="666"/>
      <c r="C59" s="666"/>
      <c r="D59" s="666"/>
      <c r="E59" s="666"/>
      <c r="F59" s="542"/>
      <c r="G59" s="44"/>
      <c r="H59" s="41"/>
    </row>
    <row r="60" spans="1:8" ht="15.75">
      <c r="A60" s="661"/>
      <c r="B60" s="666"/>
      <c r="C60" s="666"/>
      <c r="D60" s="666"/>
      <c r="E60" s="666"/>
      <c r="F60" s="542"/>
      <c r="G60" s="44"/>
      <c r="H60" s="41"/>
    </row>
    <row r="61" spans="1:8" ht="15.75">
      <c r="A61" s="661"/>
      <c r="B61" s="666"/>
      <c r="C61" s="666"/>
      <c r="D61" s="666"/>
      <c r="E61" s="666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1656</f>
        <v>1656</v>
      </c>
      <c r="D11" s="188">
        <v>1757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-1092</f>
        <v>-1092</v>
      </c>
      <c r="D12" s="188">
        <v>-1183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-471</f>
        <v>-471</v>
      </c>
      <c r="D14" s="188">
        <v>-489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-100</f>
        <v>-100</v>
      </c>
      <c r="D15" s="188">
        <v>-62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f>-22</f>
        <v>-22</v>
      </c>
      <c r="D18" s="188">
        <v>-90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9</f>
        <v>9</v>
      </c>
      <c r="D20" s="188">
        <v>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-20</v>
      </c>
      <c r="D21" s="626">
        <f>SUM(D11:D20)</f>
        <v>-60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373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0</v>
      </c>
      <c r="D33" s="626">
        <f>SUM(D23:D32)</f>
        <v>365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f>6</f>
        <v>6</v>
      </c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>
        <v>-292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6</v>
      </c>
      <c r="D43" s="628">
        <f>SUM(D35:D42)</f>
        <v>-292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-14</v>
      </c>
      <c r="D44" s="298">
        <f>D43+D33+D21</f>
        <v>13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19</v>
      </c>
      <c r="D45" s="299">
        <v>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5</v>
      </c>
      <c r="D46" s="301">
        <f>D45+D44</f>
        <v>19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5</v>
      </c>
      <c r="D47" s="289">
        <v>19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43159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Николай Димитров Колев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952</v>
      </c>
      <c r="C59" s="666"/>
      <c r="D59" s="666"/>
      <c r="E59" s="666"/>
      <c r="F59" s="542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2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2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2"/>
      <c r="G62" s="44"/>
      <c r="H62" s="41"/>
    </row>
    <row r="63" spans="1:8" ht="15.75">
      <c r="A63" s="661"/>
      <c r="B63" s="666"/>
      <c r="C63" s="666"/>
      <c r="D63" s="666"/>
      <c r="E63" s="666"/>
      <c r="F63" s="542"/>
      <c r="G63" s="44"/>
      <c r="H63" s="41"/>
    </row>
    <row r="64" spans="1:8" ht="15.75">
      <c r="A64" s="661"/>
      <c r="B64" s="666"/>
      <c r="C64" s="666"/>
      <c r="D64" s="666"/>
      <c r="E64" s="666"/>
      <c r="F64" s="542"/>
      <c r="G64" s="44"/>
      <c r="H64" s="41"/>
    </row>
    <row r="65" spans="1:8" ht="15.75">
      <c r="A65" s="661"/>
      <c r="B65" s="666"/>
      <c r="C65" s="666"/>
      <c r="D65" s="666"/>
      <c r="E65" s="666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6" t="s">
        <v>453</v>
      </c>
      <c r="B8" s="679" t="s">
        <v>454</v>
      </c>
      <c r="C8" s="672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2" t="s">
        <v>460</v>
      </c>
      <c r="L8" s="672" t="s">
        <v>461</v>
      </c>
      <c r="M8" s="499"/>
      <c r="N8" s="500"/>
    </row>
    <row r="9" spans="1:14" s="501" customFormat="1" ht="31.5">
      <c r="A9" s="677"/>
      <c r="B9" s="680"/>
      <c r="C9" s="673"/>
      <c r="D9" s="675" t="s">
        <v>802</v>
      </c>
      <c r="E9" s="675" t="s">
        <v>456</v>
      </c>
      <c r="F9" s="503" t="s">
        <v>457</v>
      </c>
      <c r="G9" s="503"/>
      <c r="H9" s="503"/>
      <c r="I9" s="682" t="s">
        <v>458</v>
      </c>
      <c r="J9" s="682" t="s">
        <v>459</v>
      </c>
      <c r="K9" s="673"/>
      <c r="L9" s="673"/>
      <c r="M9" s="504" t="s">
        <v>801</v>
      </c>
      <c r="N9" s="500"/>
    </row>
    <row r="10" spans="1:14" s="501" customFormat="1" ht="31.5">
      <c r="A10" s="678"/>
      <c r="B10" s="681"/>
      <c r="C10" s="674"/>
      <c r="D10" s="675"/>
      <c r="E10" s="675"/>
      <c r="F10" s="502" t="s">
        <v>462</v>
      </c>
      <c r="G10" s="502" t="s">
        <v>463</v>
      </c>
      <c r="H10" s="502" t="s">
        <v>464</v>
      </c>
      <c r="I10" s="674"/>
      <c r="J10" s="674"/>
      <c r="K10" s="674"/>
      <c r="L10" s="674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3400</v>
      </c>
      <c r="D13" s="552">
        <f>'1-Баланс'!H20</f>
        <v>0</v>
      </c>
      <c r="E13" s="552">
        <f>'1-Баланс'!H21</f>
        <v>214</v>
      </c>
      <c r="F13" s="552">
        <f>'1-Баланс'!H23</f>
        <v>0</v>
      </c>
      <c r="G13" s="552">
        <f>'1-Баланс'!H24</f>
        <v>409</v>
      </c>
      <c r="H13" s="553"/>
      <c r="I13" s="552">
        <f>'1-Баланс'!H29+'1-Баланс'!H32</f>
        <v>789</v>
      </c>
      <c r="J13" s="552">
        <f>'1-Баланс'!H30+'1-Баланс'!H33</f>
        <v>-4925</v>
      </c>
      <c r="K13" s="553"/>
      <c r="L13" s="552">
        <f>SUM(C13:K13)</f>
        <v>-113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3400</v>
      </c>
      <c r="D17" s="620">
        <f aca="true" t="shared" si="2" ref="D17:M17">D13+D14</f>
        <v>0</v>
      </c>
      <c r="E17" s="620">
        <f t="shared" si="2"/>
        <v>214</v>
      </c>
      <c r="F17" s="620">
        <f t="shared" si="2"/>
        <v>0</v>
      </c>
      <c r="G17" s="620">
        <f t="shared" si="2"/>
        <v>409</v>
      </c>
      <c r="H17" s="620">
        <f t="shared" si="2"/>
        <v>0</v>
      </c>
      <c r="I17" s="620">
        <f t="shared" si="2"/>
        <v>789</v>
      </c>
      <c r="J17" s="620">
        <f t="shared" si="2"/>
        <v>-4925</v>
      </c>
      <c r="K17" s="620">
        <f t="shared" si="2"/>
        <v>0</v>
      </c>
      <c r="L17" s="552">
        <f t="shared" si="1"/>
        <v>-113</v>
      </c>
      <c r="M17" s="621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2">
        <f>+'1-Баланс'!G32</f>
        <v>0</v>
      </c>
      <c r="J18" s="552">
        <f>+'1-Баланс'!G33</f>
        <v>-333</v>
      </c>
      <c r="K18" s="553"/>
      <c r="L18" s="552">
        <f t="shared" si="1"/>
        <v>-333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v>-4</v>
      </c>
      <c r="F30" s="306"/>
      <c r="G30" s="306"/>
      <c r="H30" s="306"/>
      <c r="I30" s="306">
        <v>4</v>
      </c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3400</v>
      </c>
      <c r="D31" s="620">
        <f aca="true" t="shared" si="6" ref="D31:M31">D19+D22+D23+D26+D30+D29+D17+D18</f>
        <v>0</v>
      </c>
      <c r="E31" s="620">
        <f t="shared" si="6"/>
        <v>210</v>
      </c>
      <c r="F31" s="620">
        <f t="shared" si="6"/>
        <v>0</v>
      </c>
      <c r="G31" s="620">
        <f t="shared" si="6"/>
        <v>409</v>
      </c>
      <c r="H31" s="620">
        <f t="shared" si="6"/>
        <v>0</v>
      </c>
      <c r="I31" s="620">
        <f t="shared" si="6"/>
        <v>793</v>
      </c>
      <c r="J31" s="620">
        <f t="shared" si="6"/>
        <v>-5258</v>
      </c>
      <c r="K31" s="620">
        <f t="shared" si="6"/>
        <v>0</v>
      </c>
      <c r="L31" s="552">
        <f t="shared" si="1"/>
        <v>-446</v>
      </c>
      <c r="M31" s="621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3400</v>
      </c>
      <c r="D34" s="555">
        <f t="shared" si="7"/>
        <v>0</v>
      </c>
      <c r="E34" s="555">
        <f t="shared" si="7"/>
        <v>210</v>
      </c>
      <c r="F34" s="555">
        <f t="shared" si="7"/>
        <v>0</v>
      </c>
      <c r="G34" s="555">
        <f t="shared" si="7"/>
        <v>409</v>
      </c>
      <c r="H34" s="555">
        <f t="shared" si="7"/>
        <v>0</v>
      </c>
      <c r="I34" s="555">
        <f t="shared" si="7"/>
        <v>793</v>
      </c>
      <c r="J34" s="555">
        <f t="shared" si="7"/>
        <v>-5258</v>
      </c>
      <c r="K34" s="555">
        <f t="shared" si="7"/>
        <v>0</v>
      </c>
      <c r="L34" s="618">
        <f t="shared" si="1"/>
        <v>-446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7">
        <f>pdeReportingDate</f>
        <v>43159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Николай Димитров Колев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952</v>
      </c>
      <c r="C43" s="666"/>
      <c r="D43" s="666"/>
      <c r="E43" s="666"/>
      <c r="F43" s="542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2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2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2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2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2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3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510</v>
      </c>
      <c r="E11" s="318"/>
      <c r="F11" s="318"/>
      <c r="G11" s="319">
        <f>D11+E11-F11</f>
        <v>510</v>
      </c>
      <c r="H11" s="318"/>
      <c r="I11" s="318"/>
      <c r="J11" s="319">
        <f>G11+H11-I11</f>
        <v>510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510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856</v>
      </c>
      <c r="E12" s="318"/>
      <c r="F12" s="318"/>
      <c r="G12" s="319">
        <f aca="true" t="shared" si="2" ref="G12:G41">D12+E12-F12</f>
        <v>856</v>
      </c>
      <c r="H12" s="318"/>
      <c r="I12" s="318"/>
      <c r="J12" s="319">
        <f aca="true" t="shared" si="3" ref="J12:J41">G12+H12-I12</f>
        <v>856</v>
      </c>
      <c r="K12" s="318">
        <v>119</v>
      </c>
      <c r="L12" s="318">
        <f>10</f>
        <v>10</v>
      </c>
      <c r="M12" s="318"/>
      <c r="N12" s="319">
        <f aca="true" t="shared" si="4" ref="N12:N41">K12+L12-M12</f>
        <v>129</v>
      </c>
      <c r="O12" s="318"/>
      <c r="P12" s="318"/>
      <c r="Q12" s="319">
        <f t="shared" si="0"/>
        <v>129</v>
      </c>
      <c r="R12" s="330">
        <f t="shared" si="1"/>
        <v>727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75</v>
      </c>
      <c r="E13" s="318"/>
      <c r="F13" s="318">
        <f>14</f>
        <v>14</v>
      </c>
      <c r="G13" s="319">
        <f t="shared" si="2"/>
        <v>61</v>
      </c>
      <c r="H13" s="318"/>
      <c r="I13" s="318"/>
      <c r="J13" s="319">
        <f t="shared" si="3"/>
        <v>61</v>
      </c>
      <c r="K13" s="318">
        <v>75</v>
      </c>
      <c r="L13" s="318"/>
      <c r="M13" s="318">
        <f>14</f>
        <v>14</v>
      </c>
      <c r="N13" s="319">
        <f t="shared" si="4"/>
        <v>61</v>
      </c>
      <c r="O13" s="318"/>
      <c r="P13" s="318"/>
      <c r="Q13" s="319">
        <f t="shared" si="0"/>
        <v>61</v>
      </c>
      <c r="R13" s="330">
        <f t="shared" si="1"/>
        <v>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310</v>
      </c>
      <c r="E15" s="318"/>
      <c r="F15" s="318">
        <f>12</f>
        <v>12</v>
      </c>
      <c r="G15" s="319">
        <f t="shared" si="2"/>
        <v>298</v>
      </c>
      <c r="H15" s="318"/>
      <c r="I15" s="318"/>
      <c r="J15" s="319">
        <f t="shared" si="3"/>
        <v>298</v>
      </c>
      <c r="K15" s="318">
        <v>298</v>
      </c>
      <c r="L15" s="318">
        <f>8</f>
        <v>8</v>
      </c>
      <c r="M15" s="318">
        <f>12</f>
        <v>12</v>
      </c>
      <c r="N15" s="319">
        <f t="shared" si="4"/>
        <v>294</v>
      </c>
      <c r="O15" s="318"/>
      <c r="P15" s="318"/>
      <c r="Q15" s="319">
        <f t="shared" si="0"/>
        <v>294</v>
      </c>
      <c r="R15" s="330">
        <f t="shared" si="1"/>
        <v>4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91</v>
      </c>
      <c r="E16" s="318"/>
      <c r="F16" s="318">
        <f>43</f>
        <v>43</v>
      </c>
      <c r="G16" s="319">
        <f t="shared" si="2"/>
        <v>48</v>
      </c>
      <c r="H16" s="318"/>
      <c r="I16" s="318"/>
      <c r="J16" s="319">
        <f t="shared" si="3"/>
        <v>48</v>
      </c>
      <c r="K16" s="318">
        <v>71</v>
      </c>
      <c r="L16" s="318">
        <f>5</f>
        <v>5</v>
      </c>
      <c r="M16" s="318">
        <f>43</f>
        <v>43</v>
      </c>
      <c r="N16" s="319">
        <f t="shared" si="4"/>
        <v>33</v>
      </c>
      <c r="O16" s="318"/>
      <c r="P16" s="318"/>
      <c r="Q16" s="319">
        <f t="shared" si="0"/>
        <v>33</v>
      </c>
      <c r="R16" s="330">
        <f t="shared" si="1"/>
        <v>15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356</v>
      </c>
      <c r="E18" s="318"/>
      <c r="F18" s="318"/>
      <c r="G18" s="319">
        <f t="shared" si="2"/>
        <v>356</v>
      </c>
      <c r="H18" s="318"/>
      <c r="I18" s="318"/>
      <c r="J18" s="319">
        <f t="shared" si="3"/>
        <v>356</v>
      </c>
      <c r="K18" s="318">
        <v>12</v>
      </c>
      <c r="L18" s="318">
        <f>12</f>
        <v>12</v>
      </c>
      <c r="M18" s="318"/>
      <c r="N18" s="319">
        <f t="shared" si="4"/>
        <v>24</v>
      </c>
      <c r="O18" s="318"/>
      <c r="P18" s="318"/>
      <c r="Q18" s="319">
        <f t="shared" si="0"/>
        <v>24</v>
      </c>
      <c r="R18" s="330">
        <f t="shared" si="1"/>
        <v>332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2198</v>
      </c>
      <c r="E19" s="320">
        <f>SUM(E11:E18)</f>
        <v>0</v>
      </c>
      <c r="F19" s="320">
        <f>SUM(F11:F18)</f>
        <v>69</v>
      </c>
      <c r="G19" s="319">
        <f t="shared" si="2"/>
        <v>2129</v>
      </c>
      <c r="H19" s="320">
        <f>SUM(H11:H18)</f>
        <v>0</v>
      </c>
      <c r="I19" s="320">
        <f>SUM(I11:I18)</f>
        <v>0</v>
      </c>
      <c r="J19" s="319">
        <f t="shared" si="3"/>
        <v>2129</v>
      </c>
      <c r="K19" s="320">
        <f>SUM(K11:K18)</f>
        <v>575</v>
      </c>
      <c r="L19" s="320">
        <f>SUM(L11:L18)</f>
        <v>35</v>
      </c>
      <c r="M19" s="320">
        <f>SUM(M11:M18)</f>
        <v>69</v>
      </c>
      <c r="N19" s="319">
        <f t="shared" si="4"/>
        <v>541</v>
      </c>
      <c r="O19" s="320">
        <f>SUM(O11:O18)</f>
        <v>0</v>
      </c>
      <c r="P19" s="320">
        <f>SUM(P11:P18)</f>
        <v>0</v>
      </c>
      <c r="Q19" s="319">
        <f t="shared" si="0"/>
        <v>541</v>
      </c>
      <c r="R19" s="330">
        <f t="shared" si="1"/>
        <v>1588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2"/>
        <v>0</v>
      </c>
      <c r="H20" s="318"/>
      <c r="I20" s="318"/>
      <c r="J20" s="319">
        <f t="shared" si="3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>
        <v>173</v>
      </c>
      <c r="E21" s="318"/>
      <c r="F21" s="318"/>
      <c r="G21" s="319">
        <f t="shared" si="2"/>
        <v>173</v>
      </c>
      <c r="H21" s="318"/>
      <c r="I21" s="318"/>
      <c r="J21" s="319">
        <f t="shared" si="3"/>
        <v>173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173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44</v>
      </c>
      <c r="E23" s="318"/>
      <c r="F23" s="318"/>
      <c r="G23" s="319">
        <f t="shared" si="2"/>
        <v>44</v>
      </c>
      <c r="H23" s="318"/>
      <c r="I23" s="318"/>
      <c r="J23" s="319">
        <f t="shared" si="3"/>
        <v>44</v>
      </c>
      <c r="K23" s="318">
        <v>40</v>
      </c>
      <c r="L23" s="318">
        <f>1</f>
        <v>1</v>
      </c>
      <c r="M23" s="318"/>
      <c r="N23" s="319">
        <f t="shared" si="4"/>
        <v>41</v>
      </c>
      <c r="O23" s="318"/>
      <c r="P23" s="318"/>
      <c r="Q23" s="319">
        <f t="shared" si="0"/>
        <v>41</v>
      </c>
      <c r="R23" s="330">
        <f t="shared" si="1"/>
        <v>3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20</v>
      </c>
      <c r="E24" s="318">
        <f>2</f>
        <v>2</v>
      </c>
      <c r="F24" s="318">
        <f>7</f>
        <v>7</v>
      </c>
      <c r="G24" s="319">
        <f t="shared" si="2"/>
        <v>15</v>
      </c>
      <c r="H24" s="318"/>
      <c r="I24" s="318"/>
      <c r="J24" s="319">
        <f t="shared" si="3"/>
        <v>15</v>
      </c>
      <c r="K24" s="318">
        <v>19</v>
      </c>
      <c r="L24" s="318">
        <f>1</f>
        <v>1</v>
      </c>
      <c r="M24" s="318">
        <f>7</f>
        <v>7</v>
      </c>
      <c r="N24" s="319">
        <f t="shared" si="4"/>
        <v>13</v>
      </c>
      <c r="O24" s="318"/>
      <c r="P24" s="318"/>
      <c r="Q24" s="319">
        <f t="shared" si="0"/>
        <v>13</v>
      </c>
      <c r="R24" s="330">
        <f t="shared" si="1"/>
        <v>2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31</v>
      </c>
      <c r="E26" s="318"/>
      <c r="F26" s="318">
        <f>4</f>
        <v>4</v>
      </c>
      <c r="G26" s="319">
        <f t="shared" si="2"/>
        <v>27</v>
      </c>
      <c r="H26" s="318"/>
      <c r="I26" s="318"/>
      <c r="J26" s="319">
        <f t="shared" si="3"/>
        <v>27</v>
      </c>
      <c r="K26" s="318">
        <v>23</v>
      </c>
      <c r="L26" s="318">
        <f>2</f>
        <v>2</v>
      </c>
      <c r="M26" s="318">
        <f>4</f>
        <v>4</v>
      </c>
      <c r="N26" s="319">
        <f t="shared" si="4"/>
        <v>21</v>
      </c>
      <c r="O26" s="318"/>
      <c r="P26" s="318"/>
      <c r="Q26" s="319">
        <f t="shared" si="0"/>
        <v>21</v>
      </c>
      <c r="R26" s="330">
        <f t="shared" si="1"/>
        <v>6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95</v>
      </c>
      <c r="E27" s="322">
        <f aca="true" t="shared" si="5" ref="E27:P27">SUM(E23:E26)</f>
        <v>2</v>
      </c>
      <c r="F27" s="322">
        <f t="shared" si="5"/>
        <v>11</v>
      </c>
      <c r="G27" s="323">
        <f t="shared" si="2"/>
        <v>86</v>
      </c>
      <c r="H27" s="322">
        <f t="shared" si="5"/>
        <v>0</v>
      </c>
      <c r="I27" s="322">
        <f t="shared" si="5"/>
        <v>0</v>
      </c>
      <c r="J27" s="323">
        <f t="shared" si="3"/>
        <v>86</v>
      </c>
      <c r="K27" s="322">
        <f t="shared" si="5"/>
        <v>82</v>
      </c>
      <c r="L27" s="322">
        <f t="shared" si="5"/>
        <v>4</v>
      </c>
      <c r="M27" s="322">
        <f t="shared" si="5"/>
        <v>11</v>
      </c>
      <c r="N27" s="323">
        <f t="shared" si="4"/>
        <v>75</v>
      </c>
      <c r="O27" s="322">
        <f t="shared" si="5"/>
        <v>0</v>
      </c>
      <c r="P27" s="322">
        <f t="shared" si="5"/>
        <v>0</v>
      </c>
      <c r="Q27" s="323">
        <f t="shared" si="0"/>
        <v>75</v>
      </c>
      <c r="R27" s="333">
        <f t="shared" si="1"/>
        <v>11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</v>
      </c>
      <c r="E41" s="318"/>
      <c r="F41" s="318"/>
      <c r="G41" s="319">
        <f t="shared" si="2"/>
        <v>6</v>
      </c>
      <c r="H41" s="318"/>
      <c r="I41" s="318"/>
      <c r="J41" s="319">
        <f t="shared" si="3"/>
        <v>6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2472</v>
      </c>
      <c r="E42" s="339">
        <f>E19+E20+E21+E27+E40+E41</f>
        <v>2</v>
      </c>
      <c r="F42" s="339">
        <f aca="true" t="shared" si="11" ref="F42:R42">F19+F20+F21+F27+F40+F41</f>
        <v>80</v>
      </c>
      <c r="G42" s="339">
        <f t="shared" si="11"/>
        <v>2394</v>
      </c>
      <c r="H42" s="339">
        <f t="shared" si="11"/>
        <v>0</v>
      </c>
      <c r="I42" s="339">
        <f t="shared" si="11"/>
        <v>0</v>
      </c>
      <c r="J42" s="339">
        <f t="shared" si="11"/>
        <v>2394</v>
      </c>
      <c r="K42" s="339">
        <f t="shared" si="11"/>
        <v>657</v>
      </c>
      <c r="L42" s="339">
        <f t="shared" si="11"/>
        <v>39</v>
      </c>
      <c r="M42" s="339">
        <f t="shared" si="11"/>
        <v>80</v>
      </c>
      <c r="N42" s="339">
        <f t="shared" si="11"/>
        <v>616</v>
      </c>
      <c r="O42" s="339">
        <f t="shared" si="11"/>
        <v>0</v>
      </c>
      <c r="P42" s="339">
        <f t="shared" si="11"/>
        <v>0</v>
      </c>
      <c r="Q42" s="339">
        <f t="shared" si="11"/>
        <v>616</v>
      </c>
      <c r="R42" s="340">
        <f t="shared" si="11"/>
        <v>1778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7">
        <f>pdeReportingDate</f>
        <v>43159</v>
      </c>
      <c r="D45" s="667"/>
      <c r="E45" s="667"/>
      <c r="F45" s="667"/>
      <c r="G45" s="667"/>
      <c r="H45" s="667"/>
      <c r="I45" s="667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Николай Димитров Колев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952</v>
      </c>
      <c r="D50" s="666"/>
      <c r="E50" s="666"/>
      <c r="F50" s="666"/>
      <c r="G50" s="542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2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2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2"/>
      <c r="H53" s="44"/>
      <c r="I53" s="41"/>
    </row>
    <row r="54" spans="2:9" ht="15.75">
      <c r="B54" s="661"/>
      <c r="C54" s="666"/>
      <c r="D54" s="666"/>
      <c r="E54" s="666"/>
      <c r="F54" s="666"/>
      <c r="G54" s="542"/>
      <c r="H54" s="44"/>
      <c r="I54" s="41"/>
    </row>
    <row r="55" spans="2:9" ht="15.75">
      <c r="B55" s="661"/>
      <c r="C55" s="666"/>
      <c r="D55" s="666"/>
      <c r="E55" s="666"/>
      <c r="F55" s="666"/>
      <c r="G55" s="542"/>
      <c r="H55" s="44"/>
      <c r="I55" s="41"/>
    </row>
    <row r="56" spans="2:9" ht="15.75">
      <c r="B56" s="661"/>
      <c r="C56" s="666"/>
      <c r="D56" s="666"/>
      <c r="E56" s="666"/>
      <c r="F56" s="666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K22 G25:K25 G23:J23 N23:Q23 G24:J24 N24:Q24 G28:Q42 G26:J26 N26:Q26 N25:Q25 N19:Q22 G27:K27 N27:Q27" formula="1"/>
    <ignoredError sqref="A11:A40" numberStoredAsText="1"/>
    <ignoredError sqref="F13:F17 L12:M14 L23:M26 F24:F26 L15:M18" unlockedFormula="1"/>
    <ignoredError sqref="L27:M27 L19:M22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5" t="s">
        <v>588</v>
      </c>
      <c r="E8" s="356"/>
      <c r="F8" s="118"/>
    </row>
    <row r="9" spans="1:6" s="119" customFormat="1" ht="15.75">
      <c r="A9" s="697"/>
      <c r="B9" s="699"/>
      <c r="C9" s="695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259</v>
      </c>
      <c r="D23" s="433"/>
      <c r="E23" s="432">
        <f t="shared" si="0"/>
        <v>259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486</v>
      </c>
      <c r="D26" s="352">
        <f>SUM(D27:D29)</f>
        <v>486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v>304</v>
      </c>
      <c r="D28" s="358">
        <v>304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182</v>
      </c>
      <c r="D29" s="358">
        <v>182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143</v>
      </c>
      <c r="D30" s="358">
        <v>143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39</v>
      </c>
      <c r="D31" s="358">
        <v>39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668</v>
      </c>
      <c r="D45" s="428">
        <f>D26+D30+D31+D33+D32+D34+D35+D40</f>
        <v>668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927</v>
      </c>
      <c r="D46" s="434">
        <f>D45+D23+D21+D11</f>
        <v>668</v>
      </c>
      <c r="E46" s="435">
        <f>E45+E23+E21+E11</f>
        <v>259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5" t="s">
        <v>659</v>
      </c>
      <c r="E50" s="355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v>11</v>
      </c>
      <c r="D66" s="188"/>
      <c r="E66" s="127">
        <f t="shared" si="1"/>
        <v>11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11</v>
      </c>
      <c r="D68" s="425">
        <f>D54+D58+D63+D64+D65+D66</f>
        <v>0</v>
      </c>
      <c r="E68" s="426">
        <f t="shared" si="1"/>
        <v>11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55</v>
      </c>
      <c r="D70" s="188"/>
      <c r="E70" s="127">
        <f t="shared" si="1"/>
        <v>55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221</v>
      </c>
      <c r="D73" s="128">
        <f>SUM(D74:D76)</f>
        <v>221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v>207</v>
      </c>
      <c r="D74" s="188">
        <v>207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14</v>
      </c>
      <c r="D76" s="188">
        <v>14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1286</v>
      </c>
      <c r="D77" s="129">
        <f>D78+D80</f>
        <v>1286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1286</v>
      </c>
      <c r="D78" s="188">
        <v>1286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>
        <v>1286</v>
      </c>
      <c r="D79" s="188">
        <v>1286</v>
      </c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2175</v>
      </c>
      <c r="D87" s="125">
        <f>SUM(D88:D92)+D96</f>
        <v>2175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816</f>
        <v>816</v>
      </c>
      <c r="D88" s="188">
        <f>816</f>
        <v>816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804</f>
        <v>804</v>
      </c>
      <c r="D89" s="188">
        <f>804</f>
        <v>804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145</f>
        <v>145</v>
      </c>
      <c r="D90" s="188">
        <f>145</f>
        <v>145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33</f>
        <v>33</v>
      </c>
      <c r="D91" s="188">
        <f>33</f>
        <v>33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251</v>
      </c>
      <c r="D92" s="129">
        <f>SUM(D93:D95)</f>
        <v>251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135</f>
        <v>135</v>
      </c>
      <c r="D94" s="188">
        <f>135</f>
        <v>135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116</f>
        <v>116</v>
      </c>
      <c r="D95" s="188">
        <f>116</f>
        <v>116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126</f>
        <v>126</v>
      </c>
      <c r="D96" s="188">
        <f>126</f>
        <v>126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3682</v>
      </c>
      <c r="D98" s="423">
        <f>D87+D82+D77+D73+D97</f>
        <v>3682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3748</v>
      </c>
      <c r="D99" s="417">
        <f>D98+D70+D68</f>
        <v>3682</v>
      </c>
      <c r="E99" s="417">
        <f>E98+E70+E68</f>
        <v>66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43159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Николай Димитров Колев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7">
        <f>pdeReportingDate</f>
        <v>43159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Николай Димитров Колев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ТОДОРОВ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01.01.2017 г. до 31.12.2017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3554</v>
      </c>
      <c r="D6" s="642">
        <f aca="true" t="shared" si="0" ref="D6:D15">C6-E6</f>
        <v>0</v>
      </c>
      <c r="E6" s="641">
        <f>'1-Баланс'!G95</f>
        <v>3554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-446</v>
      </c>
      <c r="D7" s="642">
        <f t="shared" si="0"/>
        <v>-3846</v>
      </c>
      <c r="E7" s="641">
        <f>'1-Баланс'!G18</f>
        <v>3400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-333</v>
      </c>
      <c r="D8" s="642">
        <f t="shared" si="0"/>
        <v>0</v>
      </c>
      <c r="E8" s="641">
        <f>ABS('2-Отчет за доходите'!C44)-ABS('2-Отчет за доходите'!G44)</f>
        <v>-333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19</v>
      </c>
      <c r="D9" s="642">
        <f t="shared" si="0"/>
        <v>0</v>
      </c>
      <c r="E9" s="641">
        <f>'3-Отчет за паричния поток'!C45</f>
        <v>19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5</v>
      </c>
      <c r="D10" s="642">
        <f t="shared" si="0"/>
        <v>0</v>
      </c>
      <c r="E10" s="641">
        <f>'3-Отчет за паричния поток'!C46</f>
        <v>5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-446</v>
      </c>
      <c r="D11" s="642">
        <f t="shared" si="0"/>
        <v>0</v>
      </c>
      <c r="E11" s="641">
        <f>'4-Отчет за собствения капитал'!L34</f>
        <v>-446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2018-02-17T18:44:09Z</cp:lastPrinted>
  <dcterms:created xsi:type="dcterms:W3CDTF">2006-09-16T00:00:00Z</dcterms:created>
  <dcterms:modified xsi:type="dcterms:W3CDTF">2018-02-28T12:01:50Z</dcterms:modified>
  <cp:category/>
  <cp:version/>
  <cp:contentType/>
  <cp:contentStatus/>
</cp:coreProperties>
</file>