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930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externalReferences>
    <externalReference r:id="rId11"/>
    <externalReference r:id="rId12"/>
    <externalReference r:id="rId13"/>
  </externalReference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<sst xmlns="http://schemas.openxmlformats.org/spreadsheetml/2006/main" count="1075" uniqueCount="894">
  <si>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</si>
  <si>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</si>
  <si>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</si>
  <si>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</si>
  <si>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</si>
  <si>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</si>
  <si>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</si>
  <si>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</si>
  <si>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</si>
  <si>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</si>
  <si>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</si>
  <si>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</si>
  <si>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</si>
  <si>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</si>
  <si>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</si>
  <si>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</si>
  <si>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</si>
  <si>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</si>
  <si>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</si>
  <si>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</si>
  <si>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</si>
  <si>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</si>
  <si>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</si>
  <si>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</si>
  <si>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</si>
  <si>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</si>
  <si>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</si>
  <si>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</si>
  <si>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</si>
  <si>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</si>
  <si>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</si>
  <si>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</si>
  <si>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</si>
  <si>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</si>
  <si>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</si>
  <si>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</si>
  <si>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</si>
  <si>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</si>
  <si>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</si>
  <si>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</si>
  <si>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</si>
  <si>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</si>
  <si>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</si>
  <si>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</si>
  <si>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</si>
  <si>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</si>
  <si>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</si>
  <si>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</si>
  <si>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</si>
  <si>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</si>
  <si>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</si>
  <si>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</si>
  <si>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</si>
  <si>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</si>
  <si>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</si>
  <si>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</si>
  <si>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</si>
  <si>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</si>
  <si>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</si>
  <si>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</si>
  <si>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</si>
  <si>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</si>
  <si>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</si>
  <si>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</si>
  <si>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</si>
  <si>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</si>
  <si>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</si>
  <si>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</si>
  <si>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</si>
  <si>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</si>
  <si>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</si>
  <si>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</si>
  <si>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</si>
  <si>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</si>
  <si>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</si>
  <si>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</si>
  <si>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</si>
  <si>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</si>
  <si>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</si>
  <si>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</si>
  <si>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</si>
  <si>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</si>
  <si>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</si>
  <si>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</si>
  <si>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</si>
  <si>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</si>
  <si>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</si>
  <si>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</si>
  <si>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</si>
  <si>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</si>
  <si>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</si>
  <si>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</si>
  <si>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</si>
  <si>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</si>
  <si>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</si>
  <si>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</si>
  <si>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</si>
  <si>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</si>
  <si>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</si>
  <si>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</si>
  <si>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</si>
  <si>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</si>
  <si>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</si>
  <si>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</si>
  <si>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</si>
  <si>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</si>
  <si>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</si>
  <si>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</si>
  <si>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</si>
  <si>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</si>
  <si>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</si>
  <si>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</si>
  <si>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</si>
  <si>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</si>
  <si>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</si>
  <si>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</si>
  <si>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</si>
  <si>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</si>
  <si>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</si>
  <si>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</si>
  <si>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</si>
  <si>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</si>
  <si>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</si>
  <si>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</si>
  <si>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</si>
  <si>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</si>
  <si>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</si>
  <si>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</si>
  <si>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</si>
  <si>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</si>
  <si>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</si>
  <si>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</si>
  <si>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</si>
  <si>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</si>
  <si>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</si>
  <si>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</si>
  <si>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</si>
  <si>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</si>
  <si>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</si>
  <si>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</si>
  <si>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</si>
  <si>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</si>
  <si>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</si>
  <si>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</si>
  <si>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</si>
  <si>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</si>
  <si>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</si>
  <si>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</si>
  <si>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</si>
  <si>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</si>
  <si>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</si>
  <si>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</si>
  <si>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</si>
  <si>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</si>
  <si>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</si>
  <si>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</si>
  <si>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</si>
  <si>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</si>
  <si>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</si>
  <si>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</si>
  <si>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</si>
  <si>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</si>
  <si>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</si>
  <si>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</si>
  <si>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</si>
  <si>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</si>
  <si>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</si>
  <si>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</si>
  <si>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</si>
  <si>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</si>
  <si>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</si>
  <si>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</si>
  <si>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</si>
  <si>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</si>
  <si>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</si>
  <si>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</si>
  <si>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</si>
  <si>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</si>
  <si>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</si>
  <si>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</si>
  <si>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</si>
  <si>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</si>
  <si>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</si>
  <si>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</si>
  <si>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</si>
  <si>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</si>
  <si>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</si>
  <si>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</si>
  <si>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</si>
  <si>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</si>
  <si>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</si>
  <si>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</si>
  <si>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</si>
  <si>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</si>
  <si>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</si>
  <si>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</si>
  <si>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</si>
  <si>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</si>
  <si>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</si>
  <si>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</si>
  <si>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</si>
  <si>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</si>
  <si>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</si>
  <si>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</si>
  <si>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</si>
  <si>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</si>
  <si>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</si>
  <si>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</si>
  <si>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</si>
  <si>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</si>
  <si>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</si>
  <si>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</si>
  <si>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</si>
  <si>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</si>
  <si>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</si>
  <si>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</si>
  <si>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</si>
  <si>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</si>
  <si>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</si>
  <si>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</si>
  <si>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</si>
  <si>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</si>
  <si>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</si>
  <si>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</si>
  <si>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</si>
  <si>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</si>
  <si>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</si>
  <si>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</si>
  <si>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</si>
  <si>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</si>
  <si>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</si>
  <si>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</si>
  <si>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</si>
  <si>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</si>
  <si>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</si>
  <si>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</si>
  <si>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</si>
  <si>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</si>
  <si>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</si>
  <si>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</si>
  <si>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</si>
  <si>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</si>
  <si>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</si>
  <si>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</si>
  <si>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</si>
  <si>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</si>
  <si>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</si>
  <si>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</si>
  <si>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</si>
  <si>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</si>
  <si>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</si>
  <si>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</si>
  <si>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</si>
  <si>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</si>
  <si>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</si>
  <si>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</si>
  <si>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</si>
  <si>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</si>
  <si>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</si>
  <si>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</si>
  <si>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</si>
  <si>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</si>
  <si>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</si>
  <si>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</si>
  <si>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</si>
  <si>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</si>
  <si>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</si>
  <si>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</si>
  <si>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</si>
  <si>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</si>
  <si>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</si>
  <si>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</si>
  <si>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</si>
  <si>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</si>
  <si>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</si>
  <si>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</si>
  <si>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</si>
  <si>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</si>
  <si>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</si>
  <si>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</si>
  <si>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</si>
  <si>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</si>
  <si>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</si>
  <si>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</si>
  <si>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</si>
  <si>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</si>
  <si>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</si>
  <si>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</si>
  <si>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</si>
  <si>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</si>
  <si>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</si>
  <si>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</si>
  <si>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</si>
  <si>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</si>
  <si>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</si>
  <si>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</si>
  <si>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</si>
  <si>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</si>
  <si>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</si>
  <si>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</si>
  <si>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</si>
  <si>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</si>
  <si>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</si>
  <si>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</si>
  <si>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</si>
  <si>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</si>
  <si>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</si>
  <si>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</si>
  <si>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</si>
  <si>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</si>
  <si>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</si>
  <si>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</si>
  <si>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</si>
  <si>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</si>
  <si>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</si>
  <si>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</si>
  <si>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</si>
  <si>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</si>
  <si>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</si>
  <si>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</si>
  <si>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</si>
  <si>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</si>
  <si>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</si>
  <si>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</si>
  <si>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</si>
  <si>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</si>
  <si>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</si>
  <si>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</si>
  <si>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</si>
  <si>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</si>
  <si>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</si>
  <si>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</si>
  <si>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</si>
  <si>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</si>
  <si>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</si>
  <si>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</si>
  <si>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</si>
  <si>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</si>
  <si>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</si>
  <si>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</si>
  <si>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</si>
  <si>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</si>
  <si>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</si>
  <si>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</si>
  <si>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</si>
  <si>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</si>
  <si>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</si>
  <si>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</si>
  <si>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</si>
  <si>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</si>
  <si>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</si>
  <si>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</si>
  <si>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</si>
  <si>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</si>
  <si>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</si>
  <si>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</si>
  <si>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</si>
  <si>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</si>
  <si>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</si>
  <si>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</si>
  <si>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</si>
  <si>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</si>
  <si>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</si>
  <si>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</si>
  <si>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</si>
  <si>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</si>
  <si>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</si>
  <si>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</si>
  <si>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</si>
  <si>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</si>
  <si>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</si>
  <si>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</si>
  <si>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</si>
  <si>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</si>
  <si>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</si>
  <si>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</si>
  <si>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</si>
  <si>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</si>
  <si>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</si>
  <si>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</si>
  <si>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</si>
  <si>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</si>
  <si>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</si>
  <si>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</si>
  <si>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</si>
  <si>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</si>
  <si>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</si>
  <si>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</si>
  <si>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</si>
  <si>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</si>
  <si>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</si>
  <si>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</si>
  <si>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</si>
  <si>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</si>
  <si>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</si>
  <si>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</si>
  <si>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</si>
  <si>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</si>
  <si>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</si>
  <si>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</si>
  <si>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</si>
  <si>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</si>
  <si>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</si>
  <si>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</si>
  <si>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</si>
  <si>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</si>
  <si>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</si>
  <si>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</si>
  <si>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</si>
  <si>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</si>
  <si>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</si>
  <si>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</si>
  <si>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</si>
  <si>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</si>
  <si>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</si>
  <si>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</si>
  <si>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</si>
  <si>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</si>
  <si>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</si>
  <si>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</si>
  <si>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</si>
  <si>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</si>
  <si>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</si>
  <si>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</si>
  <si>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</si>
  <si>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</si>
  <si>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</si>
  <si>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</si>
  <si>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</si>
  <si>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</si>
  <si>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</si>
  <si>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</si>
  <si>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</si>
  <si>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</si>
  <si>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</si>
  <si>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</si>
  <si>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</si>
  <si>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</si>
  <si>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</si>
  <si>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</si>
  <si>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</si>
  <si>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</si>
  <si>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</si>
  <si>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</si>
  <si>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</si>
  <si>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</si>
  <si>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</si>
  <si>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</si>
  <si>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</si>
  <si>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</si>
  <si>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</si>
  <si>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</si>
  <si>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</si>
  <si>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</si>
  <si>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</si>
  <si>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</si>
  <si>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</si>
  <si>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</si>
  <si>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</si>
  <si>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</si>
  <si>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</si>
  <si>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</si>
  <si>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</si>
  <si>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</si>
  <si>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</si>
  <si>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</si>
  <si>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</si>
  <si>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</si>
  <si>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</si>
  <si>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</si>
  <si>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</si>
  <si>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</si>
  <si>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</si>
  <si>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</si>
  <si>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</si>
  <si>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</si>
  <si>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</si>
  <si>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</si>
  <si>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</si>
  <si>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</si>
  <si>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</si>
  <si>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</si>
  <si>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</si>
  <si>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</si>
  <si>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</si>
  <si>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</si>
  <si>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</si>
  <si>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</si>
  <si>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</si>
  <si>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</si>
  <si>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</si>
  <si>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</si>
  <si>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</si>
  <si>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</si>
  <si>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</si>
  <si>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</si>
  <si>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</si>
  <si>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</si>
  <si>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</si>
  <si>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</si>
  <si>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</si>
  <si>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</si>
  <si>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</si>
  <si>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</si>
  <si>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</si>
  <si>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</si>
  <si>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</si>
  <si>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</si>
  <si>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</si>
  <si>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</si>
  <si>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</si>
  <si>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</si>
  <si>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</si>
  <si>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</si>
  <si>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</si>
  <si>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</si>
  <si>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</si>
  <si>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</si>
  <si>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</si>
  <si>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</si>
  <si>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</si>
  <si>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</si>
  <si>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</si>
  <si>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</si>
  <si>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</si>
  <si>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</si>
  <si>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</si>
  <si>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</si>
  <si>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</si>
  <si>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</si>
  <si>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</si>
  <si>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</si>
  <si>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</si>
  <si>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</si>
  <si>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</si>
  <si>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</si>
  <si>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</si>
  <si>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</si>
  <si>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</si>
  <si>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</si>
  <si>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</si>
  <si>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</si>
  <si>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</si>
  <si>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</si>
  <si>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</si>
  <si>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</si>
  <si>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</si>
  <si>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</si>
  <si>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</si>
  <si>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</si>
  <si>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</si>
  <si>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</si>
  <si>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</si>
  <si>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</si>
  <si>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</si>
  <si>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</si>
  <si>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</si>
  <si>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</si>
  <si>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</si>
  <si>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</si>
  <si>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</si>
  <si>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</si>
  <si>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</si>
  <si>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</si>
  <si>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</si>
  <si>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</si>
  <si>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</si>
  <si>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</si>
  <si>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</si>
  <si>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</si>
  <si>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</si>
  <si>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</si>
  <si>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</si>
  <si>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</si>
  <si>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</si>
  <si>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</si>
  <si>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</si>
  <si>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</si>
  <si>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</si>
  <si>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</si>
  <si>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</si>
  <si>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</si>
  <si>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</si>
  <si>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</si>
  <si>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</si>
  <si>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</si>
  <si>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</si>
  <si>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</si>
  <si>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</si>
  <si>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</si>
  <si>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</si>
  <si>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</si>
  <si>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</si>
  <si>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</si>
  <si>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</si>
  <si>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</si>
  <si>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</si>
  <si>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</si>
  <si>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</si>
  <si>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</si>
  <si>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</si>
  <si>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</si>
  <si>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</si>
  <si>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</si>
  <si>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</si>
  <si>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</si>
  <si>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</si>
  <si>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</si>
  <si>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</si>
  <si>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</si>
  <si>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</si>
  <si>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</si>
  <si>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</si>
  <si>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</si>
  <si>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</si>
  <si>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</si>
  <si>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</si>
  <si>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</si>
  <si>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</si>
  <si>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</si>
  <si>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</si>
  <si>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</si>
  <si>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</si>
  <si>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</si>
  <si>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</si>
  <si>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</si>
  <si>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</si>
  <si>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</si>
  <si>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</si>
  <si>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</si>
  <si>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</si>
  <si>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</si>
  <si>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</si>
  <si>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</si>
  <si>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</si>
  <si>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</si>
  <si>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</si>
  <si>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</si>
  <si>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</si>
  <si>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</si>
  <si>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</si>
  <si>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</si>
  <si>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</si>
  <si>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</si>
  <si>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</si>
  <si>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</si>
  <si>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</si>
  <si>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</si>
  <si>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</si>
  <si>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</si>
  <si>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</si>
  <si>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</si>
  <si>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</si>
  <si>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</si>
  <si>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</si>
  <si>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</si>
  <si>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</si>
  <si>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</si>
  <si>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</si>
  <si>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</si>
  <si>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</si>
  <si>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</si>
  <si>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</si>
  <si>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</si>
  <si>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</si>
  <si>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</si>
  <si>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</si>
  <si>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</si>
  <si>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</si>
  <si>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</si>
  <si>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</si>
  <si>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</si>
  <si>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</si>
  <si>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</si>
  <si>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</si>
  <si>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</si>
  <si>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</si>
  <si>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</si>
  <si>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</si>
  <si>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</si>
  <si>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</si>
  <si>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</si>
  <si>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</si>
  <si>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</si>
  <si>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</si>
  <si>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</si>
  <si>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</si>
  <si>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</si>
  <si>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</si>
  <si>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</si>
  <si>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</si>
  <si>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</si>
  <si>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</si>
  <si>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</si>
  <si>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</si>
  <si>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</si>
  <si>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</si>
  <si>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</si>
  <si>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</si>
  <si>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</si>
  <si>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</si>
  <si>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</si>
  <si>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</si>
  <si>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</si>
  <si>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</si>
  <si>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</si>
  <si>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</si>
  <si>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</si>
  <si>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</si>
  <si>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</si>
  <si>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</si>
  <si>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</si>
  <si>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</si>
  <si>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</si>
  <si>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</si>
  <si>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</si>
  <si>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</si>
  <si>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</si>
  <si>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</si>
  <si>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</si>
  <si>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</si>
  <si>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</si>
  <si>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</si>
  <si>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</si>
  <si>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</si>
  <si>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</si>
  <si>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</si>
  <si>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</si>
  <si>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</si>
  <si>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</si>
  <si>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</si>
  <si>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</si>
  <si>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</si>
  <si>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</si>
  <si>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</si>
  <si>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</si>
  <si>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</si>
  <si>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</si>
  <si>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</si>
  <si>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</si>
  <si>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</si>
  <si>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</si>
  <si>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</si>
  <si>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</si>
  <si>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</si>
  <si>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</si>
  <si>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</si>
  <si>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</si>
  <si>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</si>
  <si>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</si>
  <si>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</si>
  <si>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</si>
  <si>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</si>
  <si>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</si>
  <si>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</si>
  <si>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</si>
  <si>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</si>
  <si>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</si>
  <si>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</si>
  <si>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</si>
  <si>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</si>
  <si>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</si>
  <si>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</si>
  <si>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</si>
  <si>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</si>
  <si>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</si>
  <si>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</si>
  <si>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</si>
  <si>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</si>
  <si>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</si>
  <si>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</si>
  <si>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</si>
  <si>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</si>
  <si>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</si>
  <si>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</si>
  <si>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</si>
  <si>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</si>
  <si>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</si>
  <si>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</si>
  <si>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</si>
  <si>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</si>
  <si>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</si>
  <si>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</si>
  <si>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</si>
  <si>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</si>
  <si>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</si>
  <si>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</si>
  <si>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</si>
  <si>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</si>
  <si>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</si>
  <si>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</si>
  <si>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</si>
  <si>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</si>
  <si>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</si>
  <si>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</si>
  <si>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</si>
  <si>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</si>
  <si>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</si>
  <si>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</si>
  <si>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</si>
  <si>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</si>
  <si>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</si>
  <si>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</si>
  <si>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</si>
  <si>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</si>
  <si>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</si>
  <si>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</si>
  <si>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</si>
  <si>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</si>
  <si>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</si>
  <si>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</si>
  <si>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</si>
  <si>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</si>
  <si>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</si>
  <si>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</si>
  <si>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</si>
  <si>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</si>
  <si>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</si>
  <si>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</si>
  <si>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</si>
  <si>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</si>
  <si>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</si>
  <si>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</si>
  <si>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</si>
  <si>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</si>
  <si>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</si>
  <si>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</si>
  <si>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</si>
  <si>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</si>
  <si>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</si>
  <si>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</si>
  <si>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</si>
  <si>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</si>
  <si>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</si>
  <si>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</si>
  <si>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</si>
  <si>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</si>
  <si>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</si>
  <si>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</si>
  <si>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</si>
  <si>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</si>
  <si>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</si>
  <si>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</si>
  <si>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</si>
  <si>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</si>
  <si>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</si>
  <si>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</si>
  <si>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</si>
  <si>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</si>
  <si>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</si>
  <si>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</si>
  <si>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</si>
  <si>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</si>
  <si>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</si>
  <si>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</si>
  <si>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</si>
  <si>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</si>
  <si>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</si>
  <si>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</si>
  <si>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</si>
  <si>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</si>
  <si>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</si>
  <si>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</si>
  <si>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</si>
  <si>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1. ЦКБ Асетс Мениджмънт ЕАД</t>
  </si>
  <si>
    <t>2. Проучване и добив на нефт и газ АД</t>
  </si>
  <si>
    <t>6СК Химимпорт Консулт ООД</t>
  </si>
  <si>
    <t>9 Химимпорт груп ЕАД</t>
  </si>
  <si>
    <t>10 Спортен Комплекс Варна АД</t>
  </si>
  <si>
    <t>13 Енргопроект АД</t>
  </si>
  <si>
    <t>1.Конор</t>
  </si>
  <si>
    <t>Химимпорт АД</t>
  </si>
  <si>
    <t>неконсолидиран</t>
  </si>
  <si>
    <t>Забележка: Да се посочи метода на осчетоводяване на инвестициите- себестойност</t>
  </si>
  <si>
    <t>14. Транс Интеркар ЕООД</t>
  </si>
  <si>
    <t>3.Кепитал Мениджмънт АДСИЦ</t>
  </si>
  <si>
    <t>4 Риъл Естейт АДСИЦ</t>
  </si>
  <si>
    <t xml:space="preserve">5 Химснаб АД </t>
  </si>
  <si>
    <t>7 Химимпорт Лега Консулт ООД</t>
  </si>
  <si>
    <t>8 Бранд Ню Айдиъс ЕООД</t>
  </si>
  <si>
    <t>11 Българска Корабна Компания ЕООД</t>
  </si>
  <si>
    <t xml:space="preserve">12.Пристанище Леспорт АД </t>
  </si>
  <si>
    <t>2. Каучук АД Пазарджик</t>
  </si>
  <si>
    <t>1.ПОК Съгласие АД</t>
  </si>
  <si>
    <t>1. Булхимекс  ЕООД</t>
  </si>
  <si>
    <t>3.Бългериан Авиейшън Груп ЕАД</t>
  </si>
  <si>
    <t>5. АП Електротерм</t>
  </si>
  <si>
    <t>4.Зърнени храни България АД</t>
  </si>
  <si>
    <t>15. Анитас 2003</t>
  </si>
  <si>
    <t>31/3/8</t>
  </si>
  <si>
    <t>31/3/08</t>
  </si>
  <si>
    <t xml:space="preserve">Дата  на съставяне 31/03/08                                                                                                                              </t>
  </si>
  <si>
    <t xml:space="preserve">Дата на съставяне:31/03/08                         </t>
  </si>
  <si>
    <t>Дата на съставяне: 31/03/08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</si>
</sst>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2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0" fontId="5" fillId="0" borderId="1" xfId="0" applyFont="1" applyFill="1" applyBorder="1" applyAlignment="1">
      <alignment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Consolidation\JUNE'07\chimimport\final%20Working06.2007%20Chimimpor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nts%20and%20Settings\Alexander%20Kerezov\Local%20Settings\Temporary%20Internet%20Files\Content.IE5\51CQZZ5X\Chimimport\final%20Working12.2007%20Chimimpor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nts%20and%20Settings\Alexander%20Kerezov\Local%20Settings\Temporary%20Internet%20Files\Content.IE5\51CQZZ5X\fs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"/>
      <sheetName val="CFS"/>
      <sheetName val="P&amp;L"/>
      <sheetName val="Notes P&amp;L"/>
      <sheetName val="Tax"/>
      <sheetName val="SCHC"/>
      <sheetName val="PPE"/>
      <sheetName val="ITP"/>
      <sheetName val="Inv.prop"/>
      <sheetName val="Notes"/>
      <sheetName val="related"/>
      <sheetName val="търговски"/>
      <sheetName val="други"/>
      <sheetName val="GT_Custom"/>
    </sheetNames>
    <sheetDataSet>
      <sheetData sheetId="6">
        <row r="69">
          <cell r="B69">
            <v>401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lance"/>
      <sheetName val="CFS"/>
      <sheetName val="P&amp;L"/>
      <sheetName val="Notes P&amp;L"/>
      <sheetName val="Tax"/>
      <sheetName val="SCHC"/>
      <sheetName val="PPE"/>
      <sheetName val="ITP"/>
      <sheetName val="Inv.prop"/>
      <sheetName val="Notes"/>
      <sheetName val="Receiv_group"/>
      <sheetName val="Payables_group"/>
      <sheetName val="търговски"/>
      <sheetName val="Payables_Other"/>
      <sheetName val="promeni i vyprosi"/>
      <sheetName val="Receiv_Other"/>
      <sheetName val="GT_Custom"/>
    </sheetNames>
    <sheetDataSet>
      <sheetData sheetId="3">
        <row r="6">
          <cell r="B6">
            <v>1831</v>
          </cell>
        </row>
        <row r="7">
          <cell r="B7">
            <v>59</v>
          </cell>
        </row>
        <row r="9">
          <cell r="B9">
            <v>6313</v>
          </cell>
        </row>
        <row r="32">
          <cell r="B32">
            <v>39</v>
          </cell>
        </row>
      </sheetData>
      <sheetData sheetId="9">
        <row r="116">
          <cell r="B116">
            <v>32</v>
          </cell>
        </row>
        <row r="117">
          <cell r="B117">
            <v>123</v>
          </cell>
        </row>
        <row r="162">
          <cell r="I162">
            <v>20065</v>
          </cell>
        </row>
        <row r="236">
          <cell r="B236">
            <v>1428</v>
          </cell>
        </row>
        <row r="237">
          <cell r="B237">
            <v>197</v>
          </cell>
        </row>
        <row r="248">
          <cell r="B248">
            <v>14</v>
          </cell>
        </row>
        <row r="254">
          <cell r="B254">
            <v>709</v>
          </cell>
        </row>
        <row r="255">
          <cell r="B255">
            <v>48</v>
          </cell>
        </row>
        <row r="263">
          <cell r="B263">
            <v>664</v>
          </cell>
        </row>
        <row r="265">
          <cell r="B265">
            <v>1</v>
          </cell>
        </row>
      </sheetData>
      <sheetData sheetId="10">
        <row r="19">
          <cell r="B19">
            <v>808</v>
          </cell>
        </row>
        <row r="21">
          <cell r="B21">
            <v>547</v>
          </cell>
        </row>
        <row r="31">
          <cell r="B31">
            <v>3431</v>
          </cell>
        </row>
        <row r="58">
          <cell r="B58">
            <v>1885</v>
          </cell>
        </row>
      </sheetData>
      <sheetData sheetId="11">
        <row r="12">
          <cell r="B12">
            <v>88904</v>
          </cell>
        </row>
      </sheetData>
      <sheetData sheetId="12">
        <row r="7">
          <cell r="B7">
            <v>3099</v>
          </cell>
        </row>
        <row r="8">
          <cell r="B8">
            <v>2563</v>
          </cell>
        </row>
        <row r="22">
          <cell r="B22">
            <v>11485</v>
          </cell>
        </row>
      </sheetData>
      <sheetData sheetId="13">
        <row r="16">
          <cell r="B16">
            <v>96</v>
          </cell>
        </row>
        <row r="22">
          <cell r="B22">
            <v>107</v>
          </cell>
        </row>
        <row r="23">
          <cell r="B23">
            <v>3986</v>
          </cell>
        </row>
      </sheetData>
      <sheetData sheetId="15">
        <row r="8">
          <cell r="B8">
            <v>39</v>
          </cell>
        </row>
        <row r="22">
          <cell r="F22">
            <v>39</v>
          </cell>
        </row>
        <row r="47">
          <cell r="B47">
            <v>96</v>
          </cell>
        </row>
        <row r="80">
          <cell r="B80">
            <v>51</v>
          </cell>
        </row>
        <row r="81">
          <cell r="F81">
            <v>1001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borot"/>
      <sheetName val="balance"/>
      <sheetName val="P&amp;L (3)"/>
      <sheetName val="P&amp;L (2)"/>
      <sheetName val="P&amp;L"/>
      <sheetName val="CFS (2)"/>
      <sheetName val="CFS"/>
      <sheetName val="SChC"/>
      <sheetName val="PPE"/>
      <sheetName val="IntA"/>
      <sheetName val="InvP"/>
      <sheetName val="LRFA"/>
      <sheetName val="SRFA (2)"/>
      <sheetName val="DefTax"/>
      <sheetName val="Lease"/>
      <sheetName val="Subs"/>
      <sheetName val="Assoc"/>
      <sheetName val="NotesP&amp;L"/>
      <sheetName val="Notes"/>
      <sheetName val="OthRec&amp;Pay"/>
      <sheetName val="ShCap"/>
      <sheetName val="PaySt"/>
      <sheetName val="L&amp;STFL"/>
      <sheetName val="related"/>
      <sheetName val="relatedR&amp;P "/>
      <sheetName val="Ris"/>
      <sheetName val="INtREC&amp;PAY"/>
      <sheetName val="ОПРлева"/>
      <sheetName val="401100"/>
      <sheetName val="402000"/>
      <sheetName val="411"/>
      <sheetName val="InterestPayables"/>
      <sheetName val="InterestReceivables"/>
    </sheetNames>
    <sheetDataSet>
      <sheetData sheetId="18">
        <row r="68">
          <cell r="B68">
            <v>2473</v>
          </cell>
          <cell r="C68">
            <v>3839</v>
          </cell>
        </row>
        <row r="69">
          <cell r="B69">
            <v>1620</v>
          </cell>
          <cell r="C69">
            <v>1838</v>
          </cell>
        </row>
        <row r="70">
          <cell r="B70">
            <v>3661</v>
          </cell>
        </row>
        <row r="73">
          <cell r="B73">
            <v>2233</v>
          </cell>
        </row>
      </sheetData>
      <sheetData sheetId="22">
        <row r="23">
          <cell r="B23">
            <v>4642</v>
          </cell>
        </row>
        <row r="24">
          <cell r="B24">
            <v>20038</v>
          </cell>
        </row>
        <row r="45">
          <cell r="C45">
            <v>1946</v>
          </cell>
        </row>
        <row r="46">
          <cell r="B46">
            <v>2920</v>
          </cell>
          <cell r="C46">
            <v>8000</v>
          </cell>
        </row>
        <row r="47">
          <cell r="C47">
            <v>393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tabSelected="1" view="pageBreakPreview" zoomScaleSheetLayoutView="100" workbookViewId="0" topLeftCell="A13">
      <selection activeCell="B99" sqref="B99"/>
    </sheetView>
  </sheetViews>
  <sheetFormatPr defaultColWidth="9.00390625" defaultRowHeight="12.75"/>
  <cols>
    <col min="1" max="1" width="43.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625" style="169" customWidth="1"/>
    <col min="6" max="6" width="9.50390625" style="174" customWidth="1"/>
    <col min="7" max="7" width="12.625" style="169" customWidth="1"/>
    <col min="8" max="8" width="18.625" style="175" customWidth="1"/>
    <col min="9" max="9" width="3.50390625" style="149" customWidth="1"/>
    <col min="10" max="16384" width="9.37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2" t="s">
        <v>1</v>
      </c>
      <c r="B3" s="583"/>
      <c r="C3" s="583"/>
      <c r="D3" s="583"/>
      <c r="E3" s="462" t="s">
        <v>871</v>
      </c>
      <c r="F3" s="217" t="s">
        <v>2</v>
      </c>
      <c r="G3" s="172"/>
      <c r="H3" s="461" t="s">
        <v>159</v>
      </c>
    </row>
    <row r="4" spans="1:8" ht="15">
      <c r="A4" s="582" t="s">
        <v>3</v>
      </c>
      <c r="B4" s="588"/>
      <c r="C4" s="588"/>
      <c r="D4" s="588"/>
      <c r="E4" s="504" t="s">
        <v>872</v>
      </c>
      <c r="F4" s="584" t="s">
        <v>4</v>
      </c>
      <c r="G4" s="585"/>
      <c r="H4" s="461" t="s">
        <v>159</v>
      </c>
    </row>
    <row r="5" spans="1:8" ht="15">
      <c r="A5" s="582" t="s">
        <v>5</v>
      </c>
      <c r="B5" s="583"/>
      <c r="C5" s="583"/>
      <c r="D5" s="583"/>
      <c r="E5" s="505">
        <v>39447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25.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f>'[1]PPE'!$B$69</f>
        <v>401</v>
      </c>
      <c r="D11" s="151">
        <v>401</v>
      </c>
      <c r="E11" s="237" t="s">
        <v>22</v>
      </c>
      <c r="F11" s="242" t="s">
        <v>23</v>
      </c>
      <c r="G11" s="152">
        <v>150000</v>
      </c>
      <c r="H11" s="152">
        <v>130000</v>
      </c>
    </row>
    <row r="12" spans="1:8" ht="15">
      <c r="A12" s="235" t="s">
        <v>24</v>
      </c>
      <c r="B12" s="241" t="s">
        <v>25</v>
      </c>
      <c r="C12" s="151">
        <v>506</v>
      </c>
      <c r="D12" s="151">
        <v>528</v>
      </c>
      <c r="E12" s="237" t="s">
        <v>26</v>
      </c>
      <c r="F12" s="242" t="s">
        <v>27</v>
      </c>
      <c r="G12" s="153"/>
      <c r="H12" s="153"/>
    </row>
    <row r="13" spans="1:8" ht="15">
      <c r="A13" s="235" t="s">
        <v>28</v>
      </c>
      <c r="B13" s="241" t="s">
        <v>29</v>
      </c>
      <c r="C13" s="151">
        <v>36</v>
      </c>
      <c r="D13" s="151">
        <v>45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f>16747+0</f>
        <v>16747</v>
      </c>
      <c r="D15" s="151">
        <v>18952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125</v>
      </c>
      <c r="D16" s="151">
        <v>148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4023</v>
      </c>
      <c r="D17" s="151"/>
      <c r="E17" s="243" t="s">
        <v>46</v>
      </c>
      <c r="F17" s="245" t="s">
        <v>47</v>
      </c>
      <c r="G17" s="154">
        <f>G11+G14+G15+G16</f>
        <v>150000</v>
      </c>
      <c r="H17" s="154">
        <f>H11+H14+H15+H16</f>
        <v>130000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21838</v>
      </c>
      <c r="D19" s="155">
        <f>SUM(D11:D18)</f>
        <v>20074</v>
      </c>
      <c r="E19" s="237" t="s">
        <v>53</v>
      </c>
      <c r="F19" s="242" t="s">
        <v>54</v>
      </c>
      <c r="G19" s="152">
        <v>232343</v>
      </c>
      <c r="H19" s="152">
        <v>32925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1170</v>
      </c>
      <c r="D20" s="151">
        <v>1253</v>
      </c>
      <c r="E20" s="237" t="s">
        <v>57</v>
      </c>
      <c r="F20" s="242" t="s">
        <v>58</v>
      </c>
      <c r="G20" s="158">
        <v>0</v>
      </c>
      <c r="H20" s="158">
        <v>281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6834</v>
      </c>
      <c r="H21" s="156">
        <f>SUM(H22:H24)</f>
        <v>6844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5529</v>
      </c>
      <c r="H22" s="152">
        <v>5539</v>
      </c>
    </row>
    <row r="23" spans="1:13" ht="15">
      <c r="A23" s="235" t="s">
        <v>66</v>
      </c>
      <c r="B23" s="241" t="s">
        <v>67</v>
      </c>
      <c r="C23" s="151">
        <v>0</v>
      </c>
      <c r="D23" s="151">
        <v>1</v>
      </c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2</v>
      </c>
      <c r="D24" s="151">
        <v>4</v>
      </c>
      <c r="E24" s="237" t="s">
        <v>72</v>
      </c>
      <c r="F24" s="242" t="s">
        <v>73</v>
      </c>
      <c r="G24" s="152">
        <v>1305</v>
      </c>
      <c r="H24" s="152">
        <v>1305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239177</v>
      </c>
      <c r="H25" s="154">
        <f>H19+H20+H21</f>
        <v>40050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>
        <f>245</f>
        <v>245</v>
      </c>
      <c r="D26" s="151">
        <v>490</v>
      </c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247</v>
      </c>
      <c r="D27" s="155">
        <f>SUM(D23:D26)</f>
        <v>495</v>
      </c>
      <c r="E27" s="253" t="s">
        <v>83</v>
      </c>
      <c r="F27" s="242" t="s">
        <v>84</v>
      </c>
      <c r="G27" s="154">
        <f>SUM(G28:G30)</f>
        <v>66225</v>
      </c>
      <c r="H27" s="154">
        <f>SUM(H28:H30)</f>
        <v>36709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66225</v>
      </c>
      <c r="H28" s="152">
        <v>36709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82483</v>
      </c>
      <c r="H31" s="152">
        <v>29236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148708</v>
      </c>
      <c r="H33" s="154">
        <f>H27+H31+H32</f>
        <v>65945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359154</v>
      </c>
      <c r="D34" s="155">
        <f>SUM(D35:D38)</f>
        <v>179930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340387</v>
      </c>
      <c r="D35" s="151">
        <v>151995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537885</v>
      </c>
      <c r="H36" s="154">
        <f>H25+H17+H33</f>
        <v>235995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18767</v>
      </c>
      <c r="D37" s="151">
        <v>27935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14932</v>
      </c>
      <c r="D39" s="159">
        <f>D40+D41+D43</f>
        <v>30072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25.5">
      <c r="A43" s="235" t="s">
        <v>128</v>
      </c>
      <c r="B43" s="264" t="s">
        <v>129</v>
      </c>
      <c r="C43" s="151">
        <v>14932</v>
      </c>
      <c r="D43" s="151">
        <v>30072</v>
      </c>
      <c r="E43" s="243" t="s">
        <v>130</v>
      </c>
      <c r="F43" s="242" t="s">
        <v>131</v>
      </c>
      <c r="G43" s="152">
        <v>178597</v>
      </c>
      <c r="H43" s="152">
        <v>7760</v>
      </c>
      <c r="M43" s="157"/>
    </row>
    <row r="44" spans="1:8" ht="15">
      <c r="A44" s="235" t="s">
        <v>132</v>
      </c>
      <c r="B44" s="264" t="s">
        <v>133</v>
      </c>
      <c r="C44" s="151">
        <v>4578</v>
      </c>
      <c r="D44" s="151"/>
      <c r="E44" s="268" t="s">
        <v>134</v>
      </c>
      <c r="F44" s="242" t="s">
        <v>135</v>
      </c>
      <c r="G44" s="152">
        <v>0</v>
      </c>
      <c r="H44" s="152">
        <v>1723</v>
      </c>
    </row>
    <row r="45" spans="1:15" ht="15">
      <c r="A45" s="235" t="s">
        <v>136</v>
      </c>
      <c r="B45" s="249" t="s">
        <v>137</v>
      </c>
      <c r="C45" s="155">
        <f>C34+C39+C44</f>
        <v>378664</v>
      </c>
      <c r="D45" s="155">
        <f>D34+D39+D44</f>
        <v>210002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>
        <f>864+3745</f>
        <v>4609</v>
      </c>
      <c r="H46" s="152">
        <v>8502</v>
      </c>
    </row>
    <row r="47" spans="1:13" ht="15">
      <c r="A47" s="235" t="s">
        <v>143</v>
      </c>
      <c r="B47" s="241" t="s">
        <v>144</v>
      </c>
      <c r="C47" s="151">
        <v>72465</v>
      </c>
      <c r="D47" s="151">
        <v>1000</v>
      </c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0</v>
      </c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183206</v>
      </c>
      <c r="H49" s="154">
        <f>SUM(H43:H48)</f>
        <v>17985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>
        <v>23168</v>
      </c>
      <c r="D50" s="151">
        <v>11847</v>
      </c>
      <c r="E50" s="237"/>
      <c r="F50" s="242"/>
      <c r="G50" s="252"/>
      <c r="H50" s="154"/>
    </row>
    <row r="51" spans="1:15" ht="27">
      <c r="A51" s="235" t="s">
        <v>155</v>
      </c>
      <c r="B51" s="249" t="s">
        <v>156</v>
      </c>
      <c r="C51" s="155">
        <f>SUM(C47:C50)</f>
        <v>95633</v>
      </c>
      <c r="D51" s="155">
        <f>SUM(D47:D50)</f>
        <v>12847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0</v>
      </c>
      <c r="H53" s="152">
        <v>539</v>
      </c>
    </row>
    <row r="54" spans="1:8" ht="27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497552</v>
      </c>
      <c r="D55" s="155">
        <f>D19+D20+D21+D27+D32+D45+D51+D53+D54</f>
        <v>244671</v>
      </c>
      <c r="E55" s="237" t="s">
        <v>172</v>
      </c>
      <c r="F55" s="261" t="s">
        <v>173</v>
      </c>
      <c r="G55" s="154">
        <f>G49+G51+G52+G53+G54</f>
        <v>183206</v>
      </c>
      <c r="H55" s="154">
        <f>H49+H51+H52+H53+H54</f>
        <v>18524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f>'[2]Notes'!$B$116</f>
        <v>32</v>
      </c>
      <c r="D58" s="151">
        <v>32</v>
      </c>
      <c r="E58" s="237" t="s">
        <v>127</v>
      </c>
      <c r="F58" s="272"/>
      <c r="G58" s="252"/>
      <c r="H58" s="154"/>
    </row>
    <row r="59" spans="1:13" ht="25.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>
        <f>'[3]L&amp;STFL'!$B$24+'[3]L&amp;STFL'!$B$46-'[3]L&amp;STFL'!$B$46</f>
        <v>20038</v>
      </c>
      <c r="H59" s="152">
        <f>'[3]L&amp;STFL'!$C$46</f>
        <v>8000</v>
      </c>
      <c r="M59" s="157"/>
    </row>
    <row r="60" spans="1:8" ht="15">
      <c r="A60" s="235" t="s">
        <v>183</v>
      </c>
      <c r="B60" s="241" t="s">
        <v>184</v>
      </c>
      <c r="C60" s="151">
        <f>'[2]Notes'!$B$117</f>
        <v>123</v>
      </c>
      <c r="D60" s="151">
        <v>270</v>
      </c>
      <c r="E60" s="237" t="s">
        <v>185</v>
      </c>
      <c r="F60" s="242" t="s">
        <v>186</v>
      </c>
      <c r="G60" s="152">
        <f>'[3]L&amp;STFL'!$B$23+'[3]Notes'!$B$68+'[3]Notes'!$B$69</f>
        <v>8735</v>
      </c>
      <c r="H60" s="152">
        <f>'[3]L&amp;STFL'!$C$45+'[3]L&amp;STFL'!$C$47+'[3]Notes'!$C$68+'[3]Notes'!$C$69</f>
        <v>8016</v>
      </c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18924</v>
      </c>
      <c r="H61" s="154">
        <f>SUM(H62:H68)</f>
        <v>32491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12405</v>
      </c>
      <c r="H62" s="152">
        <v>27976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155</v>
      </c>
      <c r="D64" s="155">
        <f>SUM(D58:D63)</f>
        <v>302</v>
      </c>
      <c r="E64" s="237" t="s">
        <v>200</v>
      </c>
      <c r="F64" s="242" t="s">
        <v>201</v>
      </c>
      <c r="G64" s="152">
        <f>'[3]Notes'!$B$70+'[3]Notes'!$B$73</f>
        <v>5894</v>
      </c>
      <c r="H64" s="152">
        <v>2096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44</v>
      </c>
      <c r="H66" s="152">
        <v>515</v>
      </c>
    </row>
    <row r="67" spans="1:8" ht="15">
      <c r="A67" s="235" t="s">
        <v>207</v>
      </c>
      <c r="B67" s="241" t="s">
        <v>208</v>
      </c>
      <c r="C67" s="151">
        <v>22741</v>
      </c>
      <c r="D67" s="151">
        <v>20216</v>
      </c>
      <c r="E67" s="237" t="s">
        <v>209</v>
      </c>
      <c r="F67" s="242" t="s">
        <v>210</v>
      </c>
      <c r="G67" s="152">
        <f>'[2]Notes'!$B$248</f>
        <v>14</v>
      </c>
      <c r="H67" s="152">
        <v>9</v>
      </c>
    </row>
    <row r="68" spans="1:8" ht="15">
      <c r="A68" s="235" t="s">
        <v>211</v>
      </c>
      <c r="B68" s="241" t="s">
        <v>212</v>
      </c>
      <c r="C68" s="151">
        <v>4179</v>
      </c>
      <c r="D68" s="151">
        <v>3899</v>
      </c>
      <c r="E68" s="237" t="s">
        <v>213</v>
      </c>
      <c r="F68" s="242" t="s">
        <v>214</v>
      </c>
      <c r="G68" s="152">
        <v>567</v>
      </c>
      <c r="H68" s="152">
        <v>1895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f>9189-107</f>
        <v>9082</v>
      </c>
      <c r="H69" s="152">
        <f>10629-107</f>
        <v>10522</v>
      </c>
    </row>
    <row r="70" spans="1:8" ht="25.5">
      <c r="A70" s="235" t="s">
        <v>218</v>
      </c>
      <c r="B70" s="241" t="s">
        <v>219</v>
      </c>
      <c r="C70" s="151">
        <v>76191</v>
      </c>
      <c r="D70" s="151">
        <v>9037</v>
      </c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135</v>
      </c>
      <c r="D71" s="151">
        <v>145</v>
      </c>
      <c r="E71" s="253" t="s">
        <v>46</v>
      </c>
      <c r="F71" s="273" t="s">
        <v>224</v>
      </c>
      <c r="G71" s="161">
        <f>G59+G60+G61+G69+G70</f>
        <v>56779</v>
      </c>
      <c r="H71" s="161">
        <f>H59+H60+H61+H69+H70</f>
        <v>59029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f>'[2]Receiv_Other'!$B$8</f>
        <v>39</v>
      </c>
      <c r="D72" s="151">
        <v>28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27">
      <c r="A74" s="235" t="s">
        <v>229</v>
      </c>
      <c r="B74" s="241" t="s">
        <v>230</v>
      </c>
      <c r="C74" s="151">
        <f>4339+3987+2783-96</f>
        <v>11013</v>
      </c>
      <c r="D74" s="151">
        <f>4287+2814-40</f>
        <v>7061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114298</v>
      </c>
      <c r="D75" s="155">
        <f>SUM(D67:D74)</f>
        <v>40386</v>
      </c>
      <c r="E75" s="251" t="s">
        <v>160</v>
      </c>
      <c r="F75" s="245" t="s">
        <v>234</v>
      </c>
      <c r="G75" s="152">
        <f>'[2]Payables_Other'!$B$22</f>
        <v>107</v>
      </c>
      <c r="H75" s="152">
        <v>107</v>
      </c>
      <c r="I75" s="290"/>
      <c r="J75" s="290"/>
      <c r="K75" s="290"/>
      <c r="L75" s="290"/>
      <c r="M75" s="290"/>
      <c r="N75" s="290"/>
      <c r="O75" s="290"/>
    </row>
    <row r="76" spans="1:8" ht="27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25.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56886</v>
      </c>
      <c r="H79" s="162">
        <f>H71+H74+H75+H76</f>
        <v>59136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>
        <v>11742</v>
      </c>
      <c r="D82" s="151">
        <v>1864</v>
      </c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>
        <f>61289</f>
        <v>61289</v>
      </c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73031</v>
      </c>
      <c r="D84" s="155">
        <f>D83+D82+D78</f>
        <v>1864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25.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f>'[2]Notes'!$I$162</f>
        <v>20065</v>
      </c>
      <c r="D87" s="151">
        <v>5850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72780</v>
      </c>
      <c r="D88" s="151">
        <v>20479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>
        <v>63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92845</v>
      </c>
      <c r="D91" s="155">
        <f>SUM(D87:D90)</f>
        <v>26392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f>'[2]Receiv_Other'!$B$47</f>
        <v>96</v>
      </c>
      <c r="D92" s="151">
        <v>40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280425</v>
      </c>
      <c r="D93" s="155">
        <f>D64+D75+D84+D91+D92</f>
        <v>68984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26.25" thickBot="1">
      <c r="A94" s="448" t="s">
        <v>268</v>
      </c>
      <c r="B94" s="288" t="s">
        <v>269</v>
      </c>
      <c r="C94" s="164">
        <f>C93+C55</f>
        <v>777977</v>
      </c>
      <c r="D94" s="164">
        <f>D93+D55</f>
        <v>313655</v>
      </c>
      <c r="E94" s="449" t="s">
        <v>270</v>
      </c>
      <c r="F94" s="289" t="s">
        <v>271</v>
      </c>
      <c r="G94" s="165">
        <f>G36+G39+G55+G79</f>
        <v>777977</v>
      </c>
      <c r="H94" s="165">
        <f>H36+H39+H55+H79</f>
        <v>313655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873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272</v>
      </c>
      <c r="B98" s="432" t="s">
        <v>890</v>
      </c>
      <c r="C98" s="586" t="s">
        <v>273</v>
      </c>
      <c r="D98" s="586"/>
      <c r="E98" s="586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6" t="s">
        <v>856</v>
      </c>
      <c r="D100" s="587"/>
      <c r="E100" s="587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300" verticalDpi="300" orientation="portrait" paperSize="9" scale="5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9">
      <selection activeCell="C26" sqref="C26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625" style="545" customWidth="1"/>
    <col min="5" max="5" width="37.375" style="568" customWidth="1"/>
    <col min="6" max="6" width="9.00390625" style="568" customWidth="1"/>
    <col min="7" max="7" width="11.625" style="545" customWidth="1"/>
    <col min="8" max="8" width="13.125" style="545" customWidth="1"/>
    <col min="9" max="16384" width="9.37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77" t="str">
        <f>'справка №1-БАЛАНС'!E3</f>
        <v>Химимпорт АД</v>
      </c>
      <c r="C2" s="577"/>
      <c r="D2" s="577"/>
      <c r="E2" s="577"/>
      <c r="F2" s="579" t="s">
        <v>2</v>
      </c>
      <c r="G2" s="579"/>
      <c r="H2" s="526" t="str">
        <f>'справка №1-БАЛАНС'!H3</f>
        <v> </v>
      </c>
    </row>
    <row r="3" spans="1:8" ht="15">
      <c r="A3" s="467" t="s">
        <v>275</v>
      </c>
      <c r="B3" s="577" t="str">
        <f>'справка №1-БАЛАНС'!E4</f>
        <v>неконсолидиран</v>
      </c>
      <c r="C3" s="577"/>
      <c r="D3" s="577"/>
      <c r="E3" s="577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78">
        <f>'справка №1-БАЛАНС'!E5</f>
        <v>39447</v>
      </c>
      <c r="C4" s="578"/>
      <c r="D4" s="578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f>'[2]Notes P&amp;L'!$B$32</f>
        <v>39</v>
      </c>
      <c r="D9" s="46">
        <v>33</v>
      </c>
      <c r="E9" s="298" t="s">
        <v>285</v>
      </c>
      <c r="F9" s="549" t="s">
        <v>286</v>
      </c>
      <c r="G9" s="550"/>
      <c r="H9" s="550"/>
    </row>
    <row r="10" spans="1:8" ht="12">
      <c r="A10" s="298" t="s">
        <v>287</v>
      </c>
      <c r="B10" s="299" t="s">
        <v>288</v>
      </c>
      <c r="C10" s="46">
        <v>4087</v>
      </c>
      <c r="D10" s="46">
        <v>1345</v>
      </c>
      <c r="E10" s="298" t="s">
        <v>289</v>
      </c>
      <c r="F10" s="549" t="s">
        <v>290</v>
      </c>
      <c r="G10" s="550">
        <f>'[2]Notes P&amp;L'!$B$6</f>
        <v>1831</v>
      </c>
      <c r="H10" s="550">
        <v>180</v>
      </c>
    </row>
    <row r="11" spans="1:8" ht="12">
      <c r="A11" s="298" t="s">
        <v>291</v>
      </c>
      <c r="B11" s="299" t="s">
        <v>292</v>
      </c>
      <c r="C11" s="46">
        <v>2602</v>
      </c>
      <c r="D11" s="46">
        <v>2195</v>
      </c>
      <c r="E11" s="300" t="s">
        <v>293</v>
      </c>
      <c r="F11" s="549" t="s">
        <v>294</v>
      </c>
      <c r="G11" s="550">
        <f>'[2]Notes P&amp;L'!$B$7</f>
        <v>59</v>
      </c>
      <c r="H11" s="550">
        <v>245</v>
      </c>
    </row>
    <row r="12" spans="1:8" ht="12">
      <c r="A12" s="298" t="s">
        <v>295</v>
      </c>
      <c r="B12" s="299" t="s">
        <v>296</v>
      </c>
      <c r="C12" s="46">
        <v>541</v>
      </c>
      <c r="D12" s="46">
        <v>709</v>
      </c>
      <c r="E12" s="300" t="s">
        <v>78</v>
      </c>
      <c r="F12" s="549" t="s">
        <v>297</v>
      </c>
      <c r="G12" s="550">
        <f>'[2]Notes P&amp;L'!$B$9</f>
        <v>6313</v>
      </c>
      <c r="H12" s="550">
        <v>15127</v>
      </c>
    </row>
    <row r="13" spans="1:18" ht="12">
      <c r="A13" s="298" t="s">
        <v>298</v>
      </c>
      <c r="B13" s="299" t="s">
        <v>299</v>
      </c>
      <c r="C13" s="46">
        <v>90</v>
      </c>
      <c r="D13" s="46">
        <v>49</v>
      </c>
      <c r="E13" s="301" t="s">
        <v>51</v>
      </c>
      <c r="F13" s="551" t="s">
        <v>300</v>
      </c>
      <c r="G13" s="548">
        <f>SUM(G9:G12)</f>
        <v>8203</v>
      </c>
      <c r="H13" s="548">
        <f>SUM(H9:H12)</f>
        <v>15552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24">
      <c r="A14" s="298" t="s">
        <v>301</v>
      </c>
      <c r="B14" s="299" t="s">
        <v>302</v>
      </c>
      <c r="C14" s="46">
        <v>152</v>
      </c>
      <c r="D14" s="46">
        <v>144</v>
      </c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>
        <v>519</v>
      </c>
      <c r="D16" s="47">
        <v>285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8030</v>
      </c>
      <c r="D19" s="49">
        <f>SUM(D9:D15)+D16</f>
        <v>4760</v>
      </c>
      <c r="E19" s="304" t="s">
        <v>317</v>
      </c>
      <c r="F19" s="552" t="s">
        <v>318</v>
      </c>
      <c r="G19" s="550">
        <v>7284</v>
      </c>
      <c r="H19" s="550">
        <v>3663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>
        <v>0</v>
      </c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>
        <f>83696-5393</f>
        <v>78303</v>
      </c>
      <c r="H21" s="550">
        <v>18375</v>
      </c>
    </row>
    <row r="22" spans="1:8" ht="24">
      <c r="A22" s="304" t="s">
        <v>324</v>
      </c>
      <c r="B22" s="305" t="s">
        <v>325</v>
      </c>
      <c r="C22" s="46">
        <v>3993</v>
      </c>
      <c r="D22" s="46">
        <v>3116</v>
      </c>
      <c r="E22" s="304" t="s">
        <v>326</v>
      </c>
      <c r="F22" s="552" t="s">
        <v>327</v>
      </c>
      <c r="G22" s="550">
        <v>1024</v>
      </c>
      <c r="H22" s="550">
        <v>1315</v>
      </c>
    </row>
    <row r="23" spans="1:8" ht="24">
      <c r="A23" s="298" t="s">
        <v>328</v>
      </c>
      <c r="B23" s="305" t="s">
        <v>329</v>
      </c>
      <c r="C23" s="46">
        <v>0</v>
      </c>
      <c r="D23" s="46">
        <v>111</v>
      </c>
      <c r="E23" s="298" t="s">
        <v>330</v>
      </c>
      <c r="F23" s="552" t="s">
        <v>331</v>
      </c>
      <c r="G23" s="550">
        <v>145</v>
      </c>
      <c r="H23" s="550">
        <v>543</v>
      </c>
    </row>
    <row r="24" spans="1:18" ht="24">
      <c r="A24" s="298" t="s">
        <v>332</v>
      </c>
      <c r="B24" s="305" t="s">
        <v>333</v>
      </c>
      <c r="C24" s="46">
        <v>228</v>
      </c>
      <c r="D24" s="46">
        <v>97</v>
      </c>
      <c r="E24" s="301" t="s">
        <v>103</v>
      </c>
      <c r="F24" s="554" t="s">
        <v>334</v>
      </c>
      <c r="G24" s="548">
        <f>SUM(G19:G23)</f>
        <v>86756</v>
      </c>
      <c r="H24" s="548">
        <f>SUM(H19:H23)</f>
        <v>23896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322</v>
      </c>
      <c r="D25" s="46">
        <v>524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4543</v>
      </c>
      <c r="D26" s="49">
        <f>SUM(D22:D25)</f>
        <v>3848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24">
      <c r="A28" s="127" t="s">
        <v>337</v>
      </c>
      <c r="B28" s="293" t="s">
        <v>338</v>
      </c>
      <c r="C28" s="50">
        <f>C26+C19</f>
        <v>12573</v>
      </c>
      <c r="D28" s="50">
        <f>D26+D19</f>
        <v>8608</v>
      </c>
      <c r="E28" s="127" t="s">
        <v>339</v>
      </c>
      <c r="F28" s="554" t="s">
        <v>340</v>
      </c>
      <c r="G28" s="548">
        <f>G13+G15+G24</f>
        <v>94959</v>
      </c>
      <c r="H28" s="548">
        <f>H13+H15+H24</f>
        <v>39448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82386</v>
      </c>
      <c r="D30" s="50">
        <f>IF((H28-D28)&gt;0,H28-D28,0)</f>
        <v>30840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852</v>
      </c>
      <c r="B31" s="306" t="s">
        <v>345</v>
      </c>
      <c r="C31" s="46"/>
      <c r="D31" s="46"/>
      <c r="E31" s="296" t="s">
        <v>855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C28+C31+C32</f>
        <v>12573</v>
      </c>
      <c r="D33" s="49">
        <f>D28+D31+D32</f>
        <v>8608</v>
      </c>
      <c r="E33" s="127" t="s">
        <v>353</v>
      </c>
      <c r="F33" s="554" t="s">
        <v>354</v>
      </c>
      <c r="G33" s="53">
        <f>G32+G31+G28</f>
        <v>94959</v>
      </c>
      <c r="H33" s="53">
        <f>H32+H31+H28</f>
        <v>39448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82386</v>
      </c>
      <c r="D34" s="50">
        <f>IF((H33-D33)&gt;0,H33-D33,0)</f>
        <v>30840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-97</v>
      </c>
      <c r="D35" s="49">
        <f>D36+D37+D38</f>
        <v>1604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24">
      <c r="A36" s="309" t="s">
        <v>361</v>
      </c>
      <c r="B36" s="305" t="s">
        <v>362</v>
      </c>
      <c r="C36" s="46">
        <v>442</v>
      </c>
      <c r="D36" s="46">
        <v>1874</v>
      </c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>
        <v>-539</v>
      </c>
      <c r="D37" s="430">
        <v>-270</v>
      </c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24">
      <c r="A39" s="312" t="s">
        <v>367</v>
      </c>
      <c r="B39" s="129" t="s">
        <v>368</v>
      </c>
      <c r="C39" s="460">
        <f>+IF((G33-C33-C35)&gt;0,G33-C33-C35,0)</f>
        <v>82483</v>
      </c>
      <c r="D39" s="460">
        <f>+IF((H33-D33-D35)&gt;0,H33-D33-D35,0)</f>
        <v>29236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82483</v>
      </c>
      <c r="D41" s="52">
        <f>IF(H39=0,IF(D39-D40&gt;0,D39-D40+H40,0),IF(H39-H40&lt;0,H40-H39+D39,0))</f>
        <v>29236</v>
      </c>
      <c r="E41" s="127" t="s">
        <v>376</v>
      </c>
      <c r="F41" s="571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94959</v>
      </c>
      <c r="D42" s="53">
        <f>D33+D35+D39</f>
        <v>39448</v>
      </c>
      <c r="E42" s="128" t="s">
        <v>380</v>
      </c>
      <c r="F42" s="129" t="s">
        <v>381</v>
      </c>
      <c r="G42" s="53">
        <f>G39+G33</f>
        <v>94959</v>
      </c>
      <c r="H42" s="53">
        <f>H39+H33</f>
        <v>39448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0" t="s">
        <v>862</v>
      </c>
      <c r="B45" s="580"/>
      <c r="C45" s="580"/>
      <c r="D45" s="580"/>
      <c r="E45" s="580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6">
        <v>39538</v>
      </c>
      <c r="C48" s="427" t="s">
        <v>383</v>
      </c>
      <c r="D48" s="589"/>
      <c r="E48" s="589"/>
      <c r="F48" s="589"/>
      <c r="G48" s="589"/>
      <c r="H48" s="589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783</v>
      </c>
      <c r="D50" s="590"/>
      <c r="E50" s="590"/>
      <c r="F50" s="590"/>
      <c r="G50" s="590"/>
      <c r="H50" s="590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7">
      <selection activeCell="B51" sqref="B51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375" style="543" customWidth="1"/>
    <col min="5" max="5" width="10.125" style="131" customWidth="1"/>
    <col min="6" max="6" width="12.00390625" style="131" customWidth="1"/>
    <col min="7" max="16384" width="9.37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384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385</v>
      </c>
      <c r="B4" s="470" t="str">
        <f>'справка №1-БАЛАНС'!E3</f>
        <v>Химимпорт АД</v>
      </c>
      <c r="C4" s="541" t="s">
        <v>2</v>
      </c>
      <c r="D4" s="541" t="str">
        <f>'справка №1-БАЛАНС'!H3</f>
        <v> 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>
        <f>'справка №1-БАЛАНС'!E5</f>
        <v>39447</v>
      </c>
      <c r="C6" s="472"/>
      <c r="D6" s="473" t="s">
        <v>276</v>
      </c>
      <c r="F6" s="325"/>
    </row>
    <row r="7" spans="1:6" ht="33.75" customHeight="1">
      <c r="A7" s="326" t="s">
        <v>386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387</v>
      </c>
      <c r="B9" s="331"/>
      <c r="C9" s="55"/>
      <c r="D9" s="55"/>
      <c r="E9" s="130"/>
      <c r="F9" s="130"/>
    </row>
    <row r="10" spans="1:6" ht="12">
      <c r="A10" s="332" t="s">
        <v>388</v>
      </c>
      <c r="B10" s="333" t="s">
        <v>389</v>
      </c>
      <c r="C10" s="54">
        <v>8122</v>
      </c>
      <c r="D10" s="54">
        <v>6102</v>
      </c>
      <c r="E10" s="130"/>
      <c r="F10" s="130"/>
    </row>
    <row r="11" spans="1:13" ht="12">
      <c r="A11" s="332" t="s">
        <v>390</v>
      </c>
      <c r="B11" s="333" t="s">
        <v>391</v>
      </c>
      <c r="C11" s="54">
        <v>-5577</v>
      </c>
      <c r="D11" s="54">
        <v>-1897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24">
      <c r="A12" s="332" t="s">
        <v>392</v>
      </c>
      <c r="B12" s="333" t="s">
        <v>393</v>
      </c>
      <c r="C12" s="54">
        <f>-64033+780</f>
        <v>-63253</v>
      </c>
      <c r="D12" s="54">
        <f>-3779+1740</f>
        <v>-2039</v>
      </c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394</v>
      </c>
      <c r="B13" s="333" t="s">
        <v>395</v>
      </c>
      <c r="C13" s="54">
        <v>-1154</v>
      </c>
      <c r="D13" s="54">
        <v>-227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396</v>
      </c>
      <c r="B14" s="333" t="s">
        <v>397</v>
      </c>
      <c r="C14" s="54">
        <v>-84</v>
      </c>
      <c r="D14" s="54">
        <v>-61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398</v>
      </c>
      <c r="B15" s="333" t="s">
        <v>399</v>
      </c>
      <c r="C15" s="54">
        <v>-1889</v>
      </c>
      <c r="D15" s="54">
        <v>-136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400</v>
      </c>
      <c r="B16" s="333" t="s">
        <v>401</v>
      </c>
      <c r="C16" s="54">
        <v>92</v>
      </c>
      <c r="D16" s="54">
        <v>1885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24">
      <c r="A17" s="332" t="s">
        <v>402</v>
      </c>
      <c r="B17" s="333" t="s">
        <v>403</v>
      </c>
      <c r="C17" s="54"/>
      <c r="D17" s="54">
        <v>0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404</v>
      </c>
      <c r="B18" s="335" t="s">
        <v>405</v>
      </c>
      <c r="C18" s="54">
        <v>19</v>
      </c>
      <c r="D18" s="54">
        <v>23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406</v>
      </c>
      <c r="B19" s="333" t="s">
        <v>407</v>
      </c>
      <c r="C19" s="54">
        <f>109746-130007</f>
        <v>-20261</v>
      </c>
      <c r="D19" s="54">
        <f>128958-122405+1594-123+1316-23761</f>
        <v>-14421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408</v>
      </c>
      <c r="B20" s="337" t="s">
        <v>409</v>
      </c>
      <c r="C20" s="55">
        <f>SUM(C10:C19)</f>
        <v>-83985</v>
      </c>
      <c r="D20" s="55">
        <f>SUM(D10:D19)</f>
        <v>-10771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410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411</v>
      </c>
      <c r="B22" s="333" t="s">
        <v>412</v>
      </c>
      <c r="C22" s="54">
        <v>-24890</v>
      </c>
      <c r="D22" s="54">
        <v>-3909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413</v>
      </c>
      <c r="B23" s="333" t="s">
        <v>414</v>
      </c>
      <c r="C23" s="54">
        <v>39965</v>
      </c>
      <c r="D23" s="54">
        <v>2626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415</v>
      </c>
      <c r="B24" s="333" t="s">
        <v>416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417</v>
      </c>
      <c r="B25" s="333" t="s">
        <v>418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419</v>
      </c>
      <c r="B26" s="333" t="s">
        <v>420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421</v>
      </c>
      <c r="B27" s="333" t="s">
        <v>422</v>
      </c>
      <c r="C27" s="54">
        <v>-162898</v>
      </c>
      <c r="D27" s="54">
        <v>-23761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423</v>
      </c>
      <c r="B28" s="333" t="s">
        <v>424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425</v>
      </c>
      <c r="B29" s="333" t="s">
        <v>426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404</v>
      </c>
      <c r="B30" s="333" t="s">
        <v>427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428</v>
      </c>
      <c r="B31" s="333" t="s">
        <v>429</v>
      </c>
      <c r="C31" s="54">
        <v>-90107</v>
      </c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430</v>
      </c>
      <c r="B32" s="337" t="s">
        <v>431</v>
      </c>
      <c r="C32" s="55">
        <f>SUM(C22:C31)</f>
        <v>-237930</v>
      </c>
      <c r="D32" s="55">
        <f>SUM(D22:D31)</f>
        <v>-25044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432</v>
      </c>
      <c r="B33" s="338"/>
      <c r="C33" s="339"/>
      <c r="D33" s="339"/>
      <c r="E33" s="130"/>
      <c r="F33" s="130"/>
    </row>
    <row r="34" spans="1:6" ht="12">
      <c r="A34" s="332" t="s">
        <v>433</v>
      </c>
      <c r="B34" s="333" t="s">
        <v>434</v>
      </c>
      <c r="C34" s="54">
        <v>219418</v>
      </c>
      <c r="D34" s="54">
        <v>46418</v>
      </c>
      <c r="E34" s="130"/>
      <c r="F34" s="130"/>
    </row>
    <row r="35" spans="1:6" ht="12">
      <c r="A35" s="334" t="s">
        <v>435</v>
      </c>
      <c r="B35" s="333" t="s">
        <v>436</v>
      </c>
      <c r="C35" s="54"/>
      <c r="D35" s="54"/>
      <c r="E35" s="130"/>
      <c r="F35" s="130"/>
    </row>
    <row r="36" spans="1:6" ht="12">
      <c r="A36" s="332" t="s">
        <v>437</v>
      </c>
      <c r="B36" s="333" t="s">
        <v>438</v>
      </c>
      <c r="C36" s="54">
        <v>184564</v>
      </c>
      <c r="D36" s="54">
        <v>23821</v>
      </c>
      <c r="E36" s="130"/>
      <c r="F36" s="130"/>
    </row>
    <row r="37" spans="1:6" ht="12">
      <c r="A37" s="332" t="s">
        <v>439</v>
      </c>
      <c r="B37" s="333" t="s">
        <v>440</v>
      </c>
      <c r="C37" s="54">
        <v>-10939</v>
      </c>
      <c r="D37" s="54">
        <v>-8678</v>
      </c>
      <c r="E37" s="130"/>
      <c r="F37" s="130"/>
    </row>
    <row r="38" spans="1:6" ht="12">
      <c r="A38" s="332" t="s">
        <v>441</v>
      </c>
      <c r="B38" s="333" t="s">
        <v>442</v>
      </c>
      <c r="C38" s="54">
        <v>-3001</v>
      </c>
      <c r="D38" s="54">
        <v>-1475</v>
      </c>
      <c r="E38" s="130"/>
      <c r="F38" s="130"/>
    </row>
    <row r="39" spans="1:6" ht="12">
      <c r="A39" s="332" t="s">
        <v>443</v>
      </c>
      <c r="B39" s="333" t="s">
        <v>444</v>
      </c>
      <c r="C39" s="54">
        <v>-1676</v>
      </c>
      <c r="D39" s="54">
        <v>-8796</v>
      </c>
      <c r="E39" s="130"/>
      <c r="F39" s="130"/>
    </row>
    <row r="40" spans="1:6" ht="12">
      <c r="A40" s="332" t="s">
        <v>445</v>
      </c>
      <c r="B40" s="333" t="s">
        <v>446</v>
      </c>
      <c r="C40" s="54"/>
      <c r="D40" s="54"/>
      <c r="E40" s="130"/>
      <c r="F40" s="130"/>
    </row>
    <row r="41" spans="1:8" ht="12">
      <c r="A41" s="332" t="s">
        <v>447</v>
      </c>
      <c r="B41" s="333" t="s">
        <v>448</v>
      </c>
      <c r="C41" s="54"/>
      <c r="D41" s="54">
        <f>538-204</f>
        <v>334</v>
      </c>
      <c r="E41" s="130"/>
      <c r="F41" s="130"/>
      <c r="G41" s="133"/>
      <c r="H41" s="133"/>
    </row>
    <row r="42" spans="1:8" ht="12">
      <c r="A42" s="336" t="s">
        <v>449</v>
      </c>
      <c r="B42" s="337" t="s">
        <v>450</v>
      </c>
      <c r="C42" s="55">
        <f>SUM(C34:C41)</f>
        <v>388366</v>
      </c>
      <c r="D42" s="55">
        <f>SUM(D34:D41)</f>
        <v>51624</v>
      </c>
      <c r="E42" s="130"/>
      <c r="F42" s="130"/>
      <c r="G42" s="133"/>
      <c r="H42" s="133"/>
    </row>
    <row r="43" spans="1:8" ht="12">
      <c r="A43" s="340" t="s">
        <v>451</v>
      </c>
      <c r="B43" s="337" t="s">
        <v>452</v>
      </c>
      <c r="C43" s="55">
        <f>C42+C32+C20</f>
        <v>66451</v>
      </c>
      <c r="D43" s="55">
        <f>D42+D32+D20</f>
        <v>15809</v>
      </c>
      <c r="E43" s="130"/>
      <c r="F43" s="130"/>
      <c r="G43" s="133"/>
      <c r="H43" s="133"/>
    </row>
    <row r="44" spans="1:8" ht="12">
      <c r="A44" s="330" t="s">
        <v>453</v>
      </c>
      <c r="B44" s="338" t="s">
        <v>454</v>
      </c>
      <c r="C44" s="132">
        <v>26392</v>
      </c>
      <c r="D44" s="132">
        <v>10583</v>
      </c>
      <c r="E44" s="130"/>
      <c r="F44" s="130"/>
      <c r="G44" s="133"/>
      <c r="H44" s="133"/>
    </row>
    <row r="45" spans="1:8" ht="12">
      <c r="A45" s="330" t="s">
        <v>455</v>
      </c>
      <c r="B45" s="338" t="s">
        <v>456</v>
      </c>
      <c r="C45" s="55">
        <f>C44+C43</f>
        <v>92843</v>
      </c>
      <c r="D45" s="55">
        <f>D44+D43</f>
        <v>26392</v>
      </c>
      <c r="E45" s="130"/>
      <c r="F45" s="130"/>
      <c r="G45" s="133"/>
      <c r="H45" s="133"/>
    </row>
    <row r="46" spans="1:8" ht="12">
      <c r="A46" s="332" t="s">
        <v>457</v>
      </c>
      <c r="B46" s="338" t="s">
        <v>458</v>
      </c>
      <c r="C46" s="56">
        <f>'справка №1-БАЛАНС'!C87+'справка №1-БАЛАНС'!C88+'справка №1-БАЛАНС'!C90</f>
        <v>92845</v>
      </c>
      <c r="D46" s="56">
        <v>5850</v>
      </c>
      <c r="E46" s="130"/>
      <c r="F46" s="130"/>
      <c r="G46" s="133"/>
      <c r="H46" s="133"/>
    </row>
    <row r="47" spans="1:8" ht="12">
      <c r="A47" s="332" t="s">
        <v>459</v>
      </c>
      <c r="B47" s="338" t="s">
        <v>460</v>
      </c>
      <c r="C47" s="56">
        <f>'справка №1-БАЛАНС'!C89</f>
        <v>0</v>
      </c>
      <c r="D47" s="56">
        <v>20542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382</v>
      </c>
      <c r="B49" s="436" t="s">
        <v>889</v>
      </c>
      <c r="C49" s="319"/>
      <c r="D49" s="437"/>
      <c r="E49" s="343"/>
      <c r="G49" s="133"/>
      <c r="H49" s="133"/>
    </row>
    <row r="50" spans="1:8" ht="12">
      <c r="A50" s="318"/>
      <c r="B50" s="436" t="s">
        <v>383</v>
      </c>
      <c r="C50" s="581"/>
      <c r="D50" s="581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783</v>
      </c>
      <c r="C52" s="581"/>
      <c r="D52" s="581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4">
      <selection activeCell="A39" sqref="A39"/>
    </sheetView>
  </sheetViews>
  <sheetFormatPr defaultColWidth="9.00390625" defaultRowHeight="12.75"/>
  <cols>
    <col min="1" max="1" width="48.50390625" style="539" customWidth="1"/>
    <col min="2" max="2" width="8.375" style="540" customWidth="1"/>
    <col min="3" max="3" width="9.125" style="2" customWidth="1"/>
    <col min="4" max="4" width="9.375" style="2" customWidth="1"/>
    <col min="5" max="5" width="8.625" style="2" customWidth="1"/>
    <col min="6" max="6" width="7.50390625" style="2" customWidth="1"/>
    <col min="7" max="7" width="9.625" style="2" customWidth="1"/>
    <col min="8" max="8" width="7.50390625" style="2" customWidth="1"/>
    <col min="9" max="9" width="8.37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375" style="2" customWidth="1"/>
  </cols>
  <sheetData>
    <row r="1" spans="1:14" s="532" customFormat="1" ht="24" customHeight="1">
      <c r="A1" s="591" t="s">
        <v>461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3" t="str">
        <f>'справка №1-БАЛАНС'!E3</f>
        <v>Химимпорт АД</v>
      </c>
      <c r="C3" s="593"/>
      <c r="D3" s="593"/>
      <c r="E3" s="593"/>
      <c r="F3" s="593"/>
      <c r="G3" s="593"/>
      <c r="H3" s="593"/>
      <c r="I3" s="593"/>
      <c r="J3" s="476"/>
      <c r="K3" s="595" t="s">
        <v>2</v>
      </c>
      <c r="L3" s="595"/>
      <c r="M3" s="478" t="str">
        <f>'справка №1-БАЛАНС'!H3</f>
        <v> </v>
      </c>
      <c r="N3" s="2"/>
    </row>
    <row r="4" spans="1:15" s="532" customFormat="1" ht="13.5" customHeight="1">
      <c r="A4" s="467" t="s">
        <v>462</v>
      </c>
      <c r="B4" s="593" t="str">
        <f>'справка №1-БАЛАНС'!E4</f>
        <v>неконсолидиран</v>
      </c>
      <c r="C4" s="593"/>
      <c r="D4" s="593"/>
      <c r="E4" s="593"/>
      <c r="F4" s="593"/>
      <c r="G4" s="593"/>
      <c r="H4" s="593"/>
      <c r="I4" s="593"/>
      <c r="J4" s="136"/>
      <c r="K4" s="596" t="s">
        <v>4</v>
      </c>
      <c r="L4" s="596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7">
        <f>'справка №1-БАЛАНС'!E5</f>
        <v>39447</v>
      </c>
      <c r="C5" s="597"/>
      <c r="D5" s="597"/>
      <c r="E5" s="597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463</v>
      </c>
      <c r="E6" s="6"/>
      <c r="F6" s="6"/>
      <c r="G6" s="6"/>
      <c r="H6" s="6"/>
      <c r="I6" s="6" t="s">
        <v>464</v>
      </c>
      <c r="J6" s="199"/>
      <c r="K6" s="186"/>
      <c r="L6" s="177"/>
      <c r="M6" s="180"/>
      <c r="N6" s="135"/>
    </row>
    <row r="7" spans="1:14" s="533" customFormat="1" ht="60">
      <c r="A7" s="207" t="s">
        <v>465</v>
      </c>
      <c r="B7" s="211" t="s">
        <v>466</v>
      </c>
      <c r="C7" s="178" t="s">
        <v>467</v>
      </c>
      <c r="D7" s="208" t="s">
        <v>468</v>
      </c>
      <c r="E7" s="177" t="s">
        <v>469</v>
      </c>
      <c r="F7" s="6" t="s">
        <v>470</v>
      </c>
      <c r="G7" s="6"/>
      <c r="H7" s="6"/>
      <c r="I7" s="177" t="s">
        <v>471</v>
      </c>
      <c r="J7" s="201" t="s">
        <v>472</v>
      </c>
      <c r="K7" s="178" t="s">
        <v>473</v>
      </c>
      <c r="L7" s="178" t="s">
        <v>474</v>
      </c>
      <c r="M7" s="205" t="s">
        <v>475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476</v>
      </c>
      <c r="G8" s="5" t="s">
        <v>477</v>
      </c>
      <c r="H8" s="5" t="s">
        <v>478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479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480</v>
      </c>
      <c r="L10" s="8" t="s">
        <v>111</v>
      </c>
      <c r="M10" s="9" t="s">
        <v>119</v>
      </c>
      <c r="N10" s="7"/>
    </row>
    <row r="11" spans="1:23" ht="15.75" customHeight="1">
      <c r="A11" s="10" t="s">
        <v>481</v>
      </c>
      <c r="B11" s="17" t="s">
        <v>482</v>
      </c>
      <c r="C11" s="58">
        <f>'справка №1-БАЛАНС'!H17</f>
        <v>130000</v>
      </c>
      <c r="D11" s="58">
        <f>'справка №1-БАЛАНС'!H19</f>
        <v>32925</v>
      </c>
      <c r="E11" s="58">
        <f>'справка №1-БАЛАНС'!H20</f>
        <v>281</v>
      </c>
      <c r="F11" s="58">
        <f>'справка №1-БАЛАНС'!H22</f>
        <v>5539</v>
      </c>
      <c r="G11" s="58">
        <f>'справка №1-БАЛАНС'!H23</f>
        <v>0</v>
      </c>
      <c r="H11" s="60">
        <v>1305</v>
      </c>
      <c r="I11" s="58">
        <f>'справка №1-БАЛАНС'!H28+'справка №1-БАЛАНС'!H31</f>
        <v>65945</v>
      </c>
      <c r="J11" s="58">
        <f>'справка №1-БАЛАНС'!H29+'справка №1-БАЛАНС'!H32</f>
        <v>0</v>
      </c>
      <c r="K11" s="60"/>
      <c r="L11" s="344">
        <f>SUM(C11:K11)</f>
        <v>235995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483</v>
      </c>
      <c r="B12" s="17" t="s">
        <v>484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485</v>
      </c>
      <c r="B13" s="8" t="s">
        <v>486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487</v>
      </c>
      <c r="B14" s="8" t="s">
        <v>488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489</v>
      </c>
      <c r="B15" s="17" t="s">
        <v>490</v>
      </c>
      <c r="C15" s="61">
        <f>C11+C12</f>
        <v>130000</v>
      </c>
      <c r="D15" s="61">
        <f aca="true" t="shared" si="2" ref="D15:M15">D11+D12</f>
        <v>32925</v>
      </c>
      <c r="E15" s="61">
        <f t="shared" si="2"/>
        <v>281</v>
      </c>
      <c r="F15" s="61">
        <f t="shared" si="2"/>
        <v>5539</v>
      </c>
      <c r="G15" s="61">
        <f t="shared" si="2"/>
        <v>0</v>
      </c>
      <c r="H15" s="61">
        <f t="shared" si="2"/>
        <v>1305</v>
      </c>
      <c r="I15" s="61">
        <f t="shared" si="2"/>
        <v>65945</v>
      </c>
      <c r="J15" s="61">
        <f t="shared" si="2"/>
        <v>0</v>
      </c>
      <c r="K15" s="61">
        <f t="shared" si="2"/>
        <v>0</v>
      </c>
      <c r="L15" s="344">
        <f t="shared" si="1"/>
        <v>235995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491</v>
      </c>
      <c r="B16" s="21" t="s">
        <v>492</v>
      </c>
      <c r="C16" s="182"/>
      <c r="D16" s="183"/>
      <c r="E16" s="183"/>
      <c r="F16" s="183"/>
      <c r="G16" s="183"/>
      <c r="H16" s="184"/>
      <c r="I16" s="197">
        <f>+'справка №1-БАЛАНС'!G31</f>
        <v>82483</v>
      </c>
      <c r="J16" s="345">
        <f>+'справка №1-БАЛАНС'!G32</f>
        <v>0</v>
      </c>
      <c r="K16" s="60"/>
      <c r="L16" s="344">
        <f t="shared" si="1"/>
        <v>82483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493</v>
      </c>
      <c r="B17" s="8" t="s">
        <v>494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495</v>
      </c>
      <c r="B18" s="18" t="s">
        <v>496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497</v>
      </c>
      <c r="B19" s="18" t="s">
        <v>498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499</v>
      </c>
      <c r="B20" s="8" t="s">
        <v>500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501</v>
      </c>
      <c r="B21" s="8" t="s">
        <v>502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503</v>
      </c>
      <c r="B22" s="8" t="s">
        <v>504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505</v>
      </c>
      <c r="B23" s="8" t="s">
        <v>506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507</v>
      </c>
      <c r="B24" s="8" t="s">
        <v>508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503</v>
      </c>
      <c r="B25" s="8" t="s">
        <v>509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505</v>
      </c>
      <c r="B26" s="8" t="s">
        <v>510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511</v>
      </c>
      <c r="B27" s="8" t="s">
        <v>512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513</v>
      </c>
      <c r="B28" s="8" t="s">
        <v>514</v>
      </c>
      <c r="C28" s="60"/>
      <c r="D28" s="60">
        <v>199418</v>
      </c>
      <c r="E28" s="60">
        <v>-281</v>
      </c>
      <c r="F28" s="60">
        <v>-11</v>
      </c>
      <c r="G28" s="60"/>
      <c r="H28" s="60"/>
      <c r="I28" s="60">
        <v>281</v>
      </c>
      <c r="J28" s="60"/>
      <c r="K28" s="60"/>
      <c r="L28" s="344">
        <f t="shared" si="1"/>
        <v>199407</v>
      </c>
      <c r="M28" s="60"/>
      <c r="N28" s="11"/>
    </row>
    <row r="29" spans="1:23" ht="14.25" customHeight="1">
      <c r="A29" s="10" t="s">
        <v>515</v>
      </c>
      <c r="B29" s="17" t="s">
        <v>516</v>
      </c>
      <c r="C29" s="59">
        <f>C17+C20+C21+C24+C28+C27+C15+C16</f>
        <v>130000</v>
      </c>
      <c r="D29" s="59">
        <f aca="true" t="shared" si="6" ref="D29:M29">D17+D20+D21+D24+D28+D27+D15+D16</f>
        <v>232343</v>
      </c>
      <c r="E29" s="59">
        <f t="shared" si="6"/>
        <v>0</v>
      </c>
      <c r="F29" s="59">
        <f t="shared" si="6"/>
        <v>5528</v>
      </c>
      <c r="G29" s="59">
        <f t="shared" si="6"/>
        <v>0</v>
      </c>
      <c r="H29" s="59">
        <f t="shared" si="6"/>
        <v>1305</v>
      </c>
      <c r="I29" s="59">
        <f t="shared" si="6"/>
        <v>148709</v>
      </c>
      <c r="J29" s="59">
        <f t="shared" si="6"/>
        <v>0</v>
      </c>
      <c r="K29" s="59">
        <f t="shared" si="6"/>
        <v>0</v>
      </c>
      <c r="L29" s="344">
        <f t="shared" si="1"/>
        <v>517885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517</v>
      </c>
      <c r="B30" s="8" t="s">
        <v>518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519</v>
      </c>
      <c r="B31" s="8" t="s">
        <v>520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521</v>
      </c>
      <c r="B32" s="17" t="s">
        <v>522</v>
      </c>
      <c r="C32" s="59">
        <f aca="true" t="shared" si="7" ref="C32:K32">C29+C30+C31</f>
        <v>130000</v>
      </c>
      <c r="D32" s="59">
        <f t="shared" si="7"/>
        <v>232343</v>
      </c>
      <c r="E32" s="59">
        <f t="shared" si="7"/>
        <v>0</v>
      </c>
      <c r="F32" s="59">
        <f t="shared" si="7"/>
        <v>5528</v>
      </c>
      <c r="G32" s="59">
        <f t="shared" si="7"/>
        <v>0</v>
      </c>
      <c r="H32" s="59">
        <f t="shared" si="7"/>
        <v>1305</v>
      </c>
      <c r="I32" s="59">
        <f t="shared" si="7"/>
        <v>148709</v>
      </c>
      <c r="J32" s="59">
        <f t="shared" si="7"/>
        <v>0</v>
      </c>
      <c r="K32" s="59">
        <f t="shared" si="7"/>
        <v>0</v>
      </c>
      <c r="L32" s="344">
        <f t="shared" si="1"/>
        <v>517885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4" t="s">
        <v>863</v>
      </c>
      <c r="B35" s="594"/>
      <c r="C35" s="594"/>
      <c r="D35" s="594"/>
      <c r="E35" s="594"/>
      <c r="F35" s="594"/>
      <c r="G35" s="594"/>
      <c r="H35" s="594"/>
      <c r="I35" s="594"/>
      <c r="J35" s="594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891</v>
      </c>
      <c r="B38" s="19"/>
      <c r="C38" s="15"/>
      <c r="D38" s="592" t="s">
        <v>523</v>
      </c>
      <c r="E38" s="592"/>
      <c r="F38" s="592"/>
      <c r="G38" s="592"/>
      <c r="H38" s="592"/>
      <c r="I38" s="592"/>
      <c r="J38" s="15" t="s">
        <v>858</v>
      </c>
      <c r="K38" s="15"/>
      <c r="L38" s="592"/>
      <c r="M38" s="592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">
      <selection activeCell="B45" sqref="B45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375" style="22" customWidth="1"/>
    <col min="4" max="6" width="9.5039062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50390625" style="22" customWidth="1"/>
    <col min="11" max="11" width="9.375" style="22" customWidth="1"/>
    <col min="12" max="12" width="10.625" style="22" customWidth="1"/>
    <col min="13" max="13" width="9.625" style="22" customWidth="1"/>
    <col min="14" max="14" width="8.5039062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375" style="22" customWidth="1"/>
    <col min="19" max="16384" width="10.625" style="22" customWidth="1"/>
  </cols>
  <sheetData>
    <row r="1" spans="1:18" ht="12">
      <c r="A1" s="349"/>
      <c r="B1" s="350" t="s">
        <v>524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10" t="s">
        <v>385</v>
      </c>
      <c r="B2" s="611"/>
      <c r="C2" s="612" t="str">
        <f>'справка №1-БАЛАНС'!E3</f>
        <v>Химимпорт АД</v>
      </c>
      <c r="D2" s="612"/>
      <c r="E2" s="612"/>
      <c r="F2" s="612"/>
      <c r="G2" s="612"/>
      <c r="H2" s="612"/>
      <c r="I2" s="483"/>
      <c r="J2" s="483"/>
      <c r="K2" s="483"/>
      <c r="L2" s="483"/>
      <c r="M2" s="484" t="s">
        <v>2</v>
      </c>
      <c r="N2" s="482"/>
      <c r="O2" s="482" t="str">
        <f>'справка №1-БАЛАНС'!H3</f>
        <v> </v>
      </c>
      <c r="P2" s="483"/>
      <c r="Q2" s="483"/>
      <c r="R2" s="526"/>
    </row>
    <row r="3" spans="1:18" ht="15">
      <c r="A3" s="610" t="s">
        <v>5</v>
      </c>
      <c r="B3" s="611"/>
      <c r="C3" s="613">
        <f>'справка №1-БАЛАНС'!E5</f>
        <v>39447</v>
      </c>
      <c r="D3" s="613"/>
      <c r="E3" s="613"/>
      <c r="F3" s="485"/>
      <c r="G3" s="485"/>
      <c r="H3" s="485"/>
      <c r="I3" s="485"/>
      <c r="J3" s="485"/>
      <c r="K3" s="485"/>
      <c r="L3" s="485"/>
      <c r="M3" s="602" t="s">
        <v>4</v>
      </c>
      <c r="N3" s="602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525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526</v>
      </c>
    </row>
    <row r="5" spans="1:18" s="100" customFormat="1" ht="30.75" customHeight="1">
      <c r="A5" s="603" t="s">
        <v>465</v>
      </c>
      <c r="B5" s="604"/>
      <c r="C5" s="607" t="s">
        <v>8</v>
      </c>
      <c r="D5" s="357" t="s">
        <v>527</v>
      </c>
      <c r="E5" s="357"/>
      <c r="F5" s="357"/>
      <c r="G5" s="357"/>
      <c r="H5" s="357" t="s">
        <v>528</v>
      </c>
      <c r="I5" s="357"/>
      <c r="J5" s="600" t="s">
        <v>529</v>
      </c>
      <c r="K5" s="357" t="s">
        <v>530</v>
      </c>
      <c r="L5" s="357"/>
      <c r="M5" s="357"/>
      <c r="N5" s="357"/>
      <c r="O5" s="357" t="s">
        <v>528</v>
      </c>
      <c r="P5" s="357"/>
      <c r="Q5" s="600" t="s">
        <v>531</v>
      </c>
      <c r="R5" s="600" t="s">
        <v>532</v>
      </c>
    </row>
    <row r="6" spans="1:18" s="100" customFormat="1" ht="60">
      <c r="A6" s="605"/>
      <c r="B6" s="606"/>
      <c r="C6" s="608"/>
      <c r="D6" s="358" t="s">
        <v>533</v>
      </c>
      <c r="E6" s="358" t="s">
        <v>534</v>
      </c>
      <c r="F6" s="358" t="s">
        <v>535</v>
      </c>
      <c r="G6" s="358" t="s">
        <v>536</v>
      </c>
      <c r="H6" s="358" t="s">
        <v>537</v>
      </c>
      <c r="I6" s="358" t="s">
        <v>538</v>
      </c>
      <c r="J6" s="601"/>
      <c r="K6" s="358" t="s">
        <v>533</v>
      </c>
      <c r="L6" s="358" t="s">
        <v>539</v>
      </c>
      <c r="M6" s="358" t="s">
        <v>540</v>
      </c>
      <c r="N6" s="358" t="s">
        <v>541</v>
      </c>
      <c r="O6" s="358" t="s">
        <v>537</v>
      </c>
      <c r="P6" s="358" t="s">
        <v>538</v>
      </c>
      <c r="Q6" s="601"/>
      <c r="R6" s="601"/>
    </row>
    <row r="7" spans="1:18" s="100" customFormat="1" ht="12">
      <c r="A7" s="360" t="s">
        <v>542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543</v>
      </c>
      <c r="B8" s="363" t="s">
        <v>544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545</v>
      </c>
      <c r="B9" s="366" t="s">
        <v>546</v>
      </c>
      <c r="C9" s="367" t="s">
        <v>547</v>
      </c>
      <c r="D9" s="189">
        <v>401</v>
      </c>
      <c r="E9" s="189"/>
      <c r="F9" s="189"/>
      <c r="G9" s="74">
        <f>D9+E9-F9</f>
        <v>401</v>
      </c>
      <c r="H9" s="65"/>
      <c r="I9" s="65"/>
      <c r="J9" s="74">
        <f>G9+H9-I9</f>
        <v>401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401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548</v>
      </c>
      <c r="B10" s="366" t="s">
        <v>549</v>
      </c>
      <c r="C10" s="367" t="s">
        <v>550</v>
      </c>
      <c r="D10" s="189">
        <v>654</v>
      </c>
      <c r="E10" s="189"/>
      <c r="F10" s="189"/>
      <c r="G10" s="74">
        <f aca="true" t="shared" si="2" ref="G10:G39">D10+E10-F10</f>
        <v>654</v>
      </c>
      <c r="H10" s="65"/>
      <c r="I10" s="65"/>
      <c r="J10" s="74">
        <f aca="true" t="shared" si="3" ref="J10:J39">G10+H10-I10</f>
        <v>654</v>
      </c>
      <c r="K10" s="65">
        <v>126</v>
      </c>
      <c r="L10" s="65">
        <v>22</v>
      </c>
      <c r="M10" s="65"/>
      <c r="N10" s="74">
        <f aca="true" t="shared" si="4" ref="N10:N39">K10+L10-M10</f>
        <v>148</v>
      </c>
      <c r="O10" s="65"/>
      <c r="P10" s="65"/>
      <c r="Q10" s="74">
        <f t="shared" si="0"/>
        <v>148</v>
      </c>
      <c r="R10" s="74">
        <f t="shared" si="1"/>
        <v>506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551</v>
      </c>
      <c r="B11" s="366" t="s">
        <v>552</v>
      </c>
      <c r="C11" s="367" t="s">
        <v>553</v>
      </c>
      <c r="D11" s="189">
        <v>1047</v>
      </c>
      <c r="E11" s="189">
        <v>10</v>
      </c>
      <c r="F11" s="189"/>
      <c r="G11" s="74">
        <f t="shared" si="2"/>
        <v>1057</v>
      </c>
      <c r="H11" s="65"/>
      <c r="I11" s="65"/>
      <c r="J11" s="74">
        <f t="shared" si="3"/>
        <v>1057</v>
      </c>
      <c r="K11" s="65">
        <v>1002</v>
      </c>
      <c r="L11" s="65">
        <v>19</v>
      </c>
      <c r="M11" s="65"/>
      <c r="N11" s="74">
        <f t="shared" si="4"/>
        <v>1021</v>
      </c>
      <c r="O11" s="65"/>
      <c r="P11" s="65"/>
      <c r="Q11" s="74">
        <f t="shared" si="0"/>
        <v>1021</v>
      </c>
      <c r="R11" s="74">
        <f t="shared" si="1"/>
        <v>36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554</v>
      </c>
      <c r="B12" s="366" t="s">
        <v>555</v>
      </c>
      <c r="C12" s="367" t="s">
        <v>556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557</v>
      </c>
      <c r="B13" s="366" t="s">
        <v>558</v>
      </c>
      <c r="C13" s="367" t="s">
        <v>559</v>
      </c>
      <c r="D13" s="189">
        <f>22042+179</f>
        <v>22221</v>
      </c>
      <c r="E13" s="189"/>
      <c r="F13" s="189"/>
      <c r="G13" s="74">
        <f t="shared" si="2"/>
        <v>22221</v>
      </c>
      <c r="H13" s="65"/>
      <c r="I13" s="65"/>
      <c r="J13" s="74">
        <f t="shared" si="3"/>
        <v>22221</v>
      </c>
      <c r="K13" s="65">
        <f>3091+179</f>
        <v>3270</v>
      </c>
      <c r="L13" s="65">
        <v>2204</v>
      </c>
      <c r="M13" s="65"/>
      <c r="N13" s="74">
        <f t="shared" si="4"/>
        <v>5474</v>
      </c>
      <c r="O13" s="65"/>
      <c r="P13" s="65"/>
      <c r="Q13" s="74">
        <f t="shared" si="0"/>
        <v>5474</v>
      </c>
      <c r="R13" s="74">
        <f t="shared" si="1"/>
        <v>16747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560</v>
      </c>
      <c r="B14" s="366" t="s">
        <v>561</v>
      </c>
      <c r="C14" s="367" t="s">
        <v>562</v>
      </c>
      <c r="D14" s="189">
        <v>607</v>
      </c>
      <c r="E14" s="189"/>
      <c r="F14" s="189"/>
      <c r="G14" s="74">
        <f t="shared" si="2"/>
        <v>607</v>
      </c>
      <c r="H14" s="65"/>
      <c r="I14" s="65"/>
      <c r="J14" s="74">
        <f t="shared" si="3"/>
        <v>607</v>
      </c>
      <c r="K14" s="65">
        <v>458</v>
      </c>
      <c r="L14" s="65">
        <v>24</v>
      </c>
      <c r="M14" s="65"/>
      <c r="N14" s="74">
        <f t="shared" si="4"/>
        <v>482</v>
      </c>
      <c r="O14" s="65"/>
      <c r="P14" s="65"/>
      <c r="Q14" s="74">
        <f t="shared" si="0"/>
        <v>482</v>
      </c>
      <c r="R14" s="74">
        <f t="shared" si="1"/>
        <v>125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36">
      <c r="A15" s="455" t="s">
        <v>859</v>
      </c>
      <c r="B15" s="374" t="s">
        <v>860</v>
      </c>
      <c r="C15" s="456" t="s">
        <v>861</v>
      </c>
      <c r="D15" s="457"/>
      <c r="E15" s="457">
        <v>4023</v>
      </c>
      <c r="F15" s="457"/>
      <c r="G15" s="74">
        <f t="shared" si="2"/>
        <v>4023</v>
      </c>
      <c r="H15" s="458"/>
      <c r="I15" s="458"/>
      <c r="J15" s="74">
        <f t="shared" si="3"/>
        <v>4023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4023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563</v>
      </c>
      <c r="B16" s="193" t="s">
        <v>564</v>
      </c>
      <c r="C16" s="367" t="s">
        <v>565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566</v>
      </c>
      <c r="C17" s="369" t="s">
        <v>567</v>
      </c>
      <c r="D17" s="194">
        <f>SUM(D9:D16)</f>
        <v>24930</v>
      </c>
      <c r="E17" s="194">
        <f>SUM(E9:E16)</f>
        <v>4033</v>
      </c>
      <c r="F17" s="194">
        <f>SUM(F9:F16)</f>
        <v>0</v>
      </c>
      <c r="G17" s="74">
        <f t="shared" si="2"/>
        <v>28963</v>
      </c>
      <c r="H17" s="75">
        <f>SUM(H9:H16)</f>
        <v>0</v>
      </c>
      <c r="I17" s="75">
        <f>SUM(I9:I16)</f>
        <v>0</v>
      </c>
      <c r="J17" s="74">
        <f t="shared" si="3"/>
        <v>28963</v>
      </c>
      <c r="K17" s="75">
        <f>SUM(K9:K16)</f>
        <v>4856</v>
      </c>
      <c r="L17" s="75">
        <f>SUM(L9:L16)</f>
        <v>2269</v>
      </c>
      <c r="M17" s="75">
        <f>SUM(M9:M16)</f>
        <v>0</v>
      </c>
      <c r="N17" s="74">
        <f t="shared" si="4"/>
        <v>7125</v>
      </c>
      <c r="O17" s="75">
        <f>SUM(O9:O16)</f>
        <v>0</v>
      </c>
      <c r="P17" s="75">
        <f>SUM(P9:P16)</f>
        <v>0</v>
      </c>
      <c r="Q17" s="74">
        <f t="shared" si="5"/>
        <v>7125</v>
      </c>
      <c r="R17" s="74">
        <f t="shared" si="6"/>
        <v>21838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568</v>
      </c>
      <c r="B18" s="371" t="s">
        <v>569</v>
      </c>
      <c r="C18" s="369" t="s">
        <v>570</v>
      </c>
      <c r="D18" s="187">
        <v>1964</v>
      </c>
      <c r="E18" s="187"/>
      <c r="F18" s="187"/>
      <c r="G18" s="74">
        <f t="shared" si="2"/>
        <v>1964</v>
      </c>
      <c r="H18" s="63"/>
      <c r="I18" s="63"/>
      <c r="J18" s="74">
        <f t="shared" si="3"/>
        <v>1964</v>
      </c>
      <c r="K18" s="63">
        <v>711</v>
      </c>
      <c r="L18" s="63">
        <v>83</v>
      </c>
      <c r="M18" s="63"/>
      <c r="N18" s="74">
        <f t="shared" si="4"/>
        <v>794</v>
      </c>
      <c r="O18" s="63"/>
      <c r="P18" s="63"/>
      <c r="Q18" s="74">
        <f t="shared" si="5"/>
        <v>794</v>
      </c>
      <c r="R18" s="74">
        <f t="shared" si="6"/>
        <v>1170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571</v>
      </c>
      <c r="B19" s="371" t="s">
        <v>572</v>
      </c>
      <c r="C19" s="369" t="s">
        <v>573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574</v>
      </c>
      <c r="B20" s="363" t="s">
        <v>575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545</v>
      </c>
      <c r="B21" s="366" t="s">
        <v>576</v>
      </c>
      <c r="C21" s="367" t="s">
        <v>577</v>
      </c>
      <c r="D21" s="189">
        <v>1</v>
      </c>
      <c r="E21" s="189"/>
      <c r="F21" s="189"/>
      <c r="G21" s="74">
        <f t="shared" si="2"/>
        <v>1</v>
      </c>
      <c r="H21" s="65"/>
      <c r="I21" s="65"/>
      <c r="J21" s="74">
        <f t="shared" si="3"/>
        <v>1</v>
      </c>
      <c r="K21" s="65"/>
      <c r="L21" s="65">
        <v>1</v>
      </c>
      <c r="M21" s="65"/>
      <c r="N21" s="74">
        <f t="shared" si="4"/>
        <v>1</v>
      </c>
      <c r="O21" s="65"/>
      <c r="P21" s="65"/>
      <c r="Q21" s="74">
        <f t="shared" si="5"/>
        <v>1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548</v>
      </c>
      <c r="B22" s="366" t="s">
        <v>578</v>
      </c>
      <c r="C22" s="367" t="s">
        <v>579</v>
      </c>
      <c r="D22" s="189">
        <v>49</v>
      </c>
      <c r="E22" s="189">
        <v>2</v>
      </c>
      <c r="F22" s="189"/>
      <c r="G22" s="74">
        <f t="shared" si="2"/>
        <v>51</v>
      </c>
      <c r="H22" s="65"/>
      <c r="I22" s="65"/>
      <c r="J22" s="74">
        <f t="shared" si="3"/>
        <v>51</v>
      </c>
      <c r="K22" s="65">
        <v>45</v>
      </c>
      <c r="L22" s="65">
        <v>4</v>
      </c>
      <c r="M22" s="65"/>
      <c r="N22" s="74">
        <f t="shared" si="4"/>
        <v>49</v>
      </c>
      <c r="O22" s="65"/>
      <c r="P22" s="65"/>
      <c r="Q22" s="74">
        <f t="shared" si="5"/>
        <v>49</v>
      </c>
      <c r="R22" s="74">
        <f t="shared" si="6"/>
        <v>2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551</v>
      </c>
      <c r="B23" s="374" t="s">
        <v>580</v>
      </c>
      <c r="C23" s="367" t="s">
        <v>581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554</v>
      </c>
      <c r="B24" s="375" t="s">
        <v>564</v>
      </c>
      <c r="C24" s="367" t="s">
        <v>582</v>
      </c>
      <c r="D24" s="189">
        <v>978</v>
      </c>
      <c r="E24" s="189"/>
      <c r="F24" s="189"/>
      <c r="G24" s="74">
        <f t="shared" si="2"/>
        <v>978</v>
      </c>
      <c r="H24" s="65"/>
      <c r="I24" s="65"/>
      <c r="J24" s="74">
        <f t="shared" si="3"/>
        <v>978</v>
      </c>
      <c r="K24" s="65">
        <v>488</v>
      </c>
      <c r="L24" s="65">
        <v>245</v>
      </c>
      <c r="M24" s="65"/>
      <c r="N24" s="74">
        <f t="shared" si="4"/>
        <v>733</v>
      </c>
      <c r="O24" s="65"/>
      <c r="P24" s="65"/>
      <c r="Q24" s="74">
        <f t="shared" si="5"/>
        <v>733</v>
      </c>
      <c r="R24" s="74">
        <f t="shared" si="6"/>
        <v>245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584</v>
      </c>
      <c r="D25" s="190">
        <f>SUM(D21:D24)</f>
        <v>1028</v>
      </c>
      <c r="E25" s="190">
        <f aca="true" t="shared" si="7" ref="E25:P25">SUM(E21:E24)</f>
        <v>2</v>
      </c>
      <c r="F25" s="190">
        <f t="shared" si="7"/>
        <v>0</v>
      </c>
      <c r="G25" s="67">
        <f t="shared" si="2"/>
        <v>1030</v>
      </c>
      <c r="H25" s="66">
        <f t="shared" si="7"/>
        <v>0</v>
      </c>
      <c r="I25" s="66">
        <f t="shared" si="7"/>
        <v>0</v>
      </c>
      <c r="J25" s="67">
        <f t="shared" si="3"/>
        <v>1030</v>
      </c>
      <c r="K25" s="66">
        <f t="shared" si="7"/>
        <v>533</v>
      </c>
      <c r="L25" s="66">
        <f t="shared" si="7"/>
        <v>250</v>
      </c>
      <c r="M25" s="66">
        <f t="shared" si="7"/>
        <v>0</v>
      </c>
      <c r="N25" s="67">
        <f t="shared" si="4"/>
        <v>783</v>
      </c>
      <c r="O25" s="66">
        <f t="shared" si="7"/>
        <v>0</v>
      </c>
      <c r="P25" s="66">
        <f t="shared" si="7"/>
        <v>0</v>
      </c>
      <c r="Q25" s="67">
        <f t="shared" si="5"/>
        <v>783</v>
      </c>
      <c r="R25" s="67">
        <f t="shared" si="6"/>
        <v>247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585</v>
      </c>
      <c r="B26" s="377" t="s">
        <v>586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545</v>
      </c>
      <c r="B27" s="379" t="s">
        <v>853</v>
      </c>
      <c r="C27" s="380" t="s">
        <v>587</v>
      </c>
      <c r="D27" s="192">
        <f>SUM(D28:D31)</f>
        <v>179930</v>
      </c>
      <c r="E27" s="192">
        <f aca="true" t="shared" si="8" ref="E27:P27">SUM(E28:E31)</f>
        <v>193479</v>
      </c>
      <c r="F27" s="192">
        <f t="shared" si="8"/>
        <v>14255</v>
      </c>
      <c r="G27" s="71">
        <f t="shared" si="2"/>
        <v>359154</v>
      </c>
      <c r="H27" s="70">
        <f t="shared" si="8"/>
        <v>0</v>
      </c>
      <c r="I27" s="70">
        <f t="shared" si="8"/>
        <v>0</v>
      </c>
      <c r="J27" s="71">
        <f t="shared" si="3"/>
        <v>359154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359154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588</v>
      </c>
      <c r="D28" s="189">
        <v>151995</v>
      </c>
      <c r="E28" s="189">
        <v>189358</v>
      </c>
      <c r="F28" s="189">
        <v>966</v>
      </c>
      <c r="G28" s="74">
        <f t="shared" si="2"/>
        <v>340387</v>
      </c>
      <c r="H28" s="65"/>
      <c r="I28" s="65"/>
      <c r="J28" s="74">
        <f t="shared" si="3"/>
        <v>340387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340387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589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590</v>
      </c>
      <c r="D30" s="189">
        <v>27935</v>
      </c>
      <c r="E30" s="189">
        <v>4121</v>
      </c>
      <c r="F30" s="189">
        <v>13289</v>
      </c>
      <c r="G30" s="74">
        <f t="shared" si="2"/>
        <v>18767</v>
      </c>
      <c r="H30" s="72"/>
      <c r="I30" s="72"/>
      <c r="J30" s="74">
        <f t="shared" si="3"/>
        <v>18767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18767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591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24">
      <c r="A32" s="366" t="s">
        <v>548</v>
      </c>
      <c r="B32" s="379" t="s">
        <v>592</v>
      </c>
      <c r="C32" s="367" t="s">
        <v>593</v>
      </c>
      <c r="D32" s="193">
        <f>SUM(D33:D36)</f>
        <v>30042</v>
      </c>
      <c r="E32" s="193">
        <f aca="true" t="shared" si="11" ref="E32:P32">SUM(E33:E36)</f>
        <v>26085</v>
      </c>
      <c r="F32" s="193">
        <f t="shared" si="11"/>
        <v>41195</v>
      </c>
      <c r="G32" s="74">
        <f t="shared" si="2"/>
        <v>14932</v>
      </c>
      <c r="H32" s="73">
        <f t="shared" si="11"/>
        <v>0</v>
      </c>
      <c r="I32" s="73">
        <f t="shared" si="11"/>
        <v>0</v>
      </c>
      <c r="J32" s="74">
        <f t="shared" si="3"/>
        <v>14932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14932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594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595</v>
      </c>
      <c r="C34" s="367" t="s">
        <v>596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597</v>
      </c>
      <c r="C35" s="367" t="s">
        <v>598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599</v>
      </c>
      <c r="C36" s="367" t="s">
        <v>600</v>
      </c>
      <c r="D36" s="189">
        <v>30042</v>
      </c>
      <c r="E36" s="189">
        <f>25709+376</f>
        <v>26085</v>
      </c>
      <c r="F36" s="189">
        <v>41195</v>
      </c>
      <c r="G36" s="74">
        <f t="shared" si="2"/>
        <v>14932</v>
      </c>
      <c r="H36" s="72"/>
      <c r="I36" s="72"/>
      <c r="J36" s="74">
        <f t="shared" si="3"/>
        <v>14932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14932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551</v>
      </c>
      <c r="B37" s="381" t="s">
        <v>564</v>
      </c>
      <c r="C37" s="367" t="s">
        <v>601</v>
      </c>
      <c r="D37" s="189"/>
      <c r="E37" s="189">
        <f>6944+539</f>
        <v>7483</v>
      </c>
      <c r="F37" s="189">
        <v>2964</v>
      </c>
      <c r="G37" s="74">
        <f t="shared" si="2"/>
        <v>4519</v>
      </c>
      <c r="H37" s="72"/>
      <c r="I37" s="72"/>
      <c r="J37" s="74">
        <f t="shared" si="3"/>
        <v>4519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4519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603</v>
      </c>
      <c r="D38" s="194">
        <f>D27+D32+D37</f>
        <v>209972</v>
      </c>
      <c r="E38" s="194">
        <f aca="true" t="shared" si="12" ref="E38:P38">E27+E32+E37</f>
        <v>227047</v>
      </c>
      <c r="F38" s="194">
        <f t="shared" si="12"/>
        <v>58414</v>
      </c>
      <c r="G38" s="74">
        <f t="shared" si="2"/>
        <v>378605</v>
      </c>
      <c r="H38" s="75">
        <f t="shared" si="12"/>
        <v>0</v>
      </c>
      <c r="I38" s="75">
        <f t="shared" si="12"/>
        <v>0</v>
      </c>
      <c r="J38" s="74">
        <f t="shared" si="3"/>
        <v>378605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378605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604</v>
      </c>
      <c r="B39" s="370" t="s">
        <v>605</v>
      </c>
      <c r="C39" s="369" t="s">
        <v>606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607</v>
      </c>
      <c r="C40" s="359" t="s">
        <v>608</v>
      </c>
      <c r="D40" s="438">
        <f>D17+D18+D19+D25+D38+D39</f>
        <v>237894</v>
      </c>
      <c r="E40" s="438">
        <f>E17+E18+E19+E25+E38+E39</f>
        <v>231082</v>
      </c>
      <c r="F40" s="438">
        <f aca="true" t="shared" si="13" ref="F40:R40">F17+F18+F19+F25+F38+F39</f>
        <v>58414</v>
      </c>
      <c r="G40" s="438">
        <f t="shared" si="13"/>
        <v>410562</v>
      </c>
      <c r="H40" s="438">
        <f t="shared" si="13"/>
        <v>0</v>
      </c>
      <c r="I40" s="438">
        <f t="shared" si="13"/>
        <v>0</v>
      </c>
      <c r="J40" s="438">
        <f t="shared" si="13"/>
        <v>410562</v>
      </c>
      <c r="K40" s="438">
        <f t="shared" si="13"/>
        <v>6100</v>
      </c>
      <c r="L40" s="438">
        <f t="shared" si="13"/>
        <v>2602</v>
      </c>
      <c r="M40" s="438">
        <f t="shared" si="13"/>
        <v>0</v>
      </c>
      <c r="N40" s="438">
        <f t="shared" si="13"/>
        <v>8702</v>
      </c>
      <c r="O40" s="438">
        <f t="shared" si="13"/>
        <v>0</v>
      </c>
      <c r="P40" s="438">
        <f t="shared" si="13"/>
        <v>0</v>
      </c>
      <c r="Q40" s="438">
        <f t="shared" si="13"/>
        <v>8702</v>
      </c>
      <c r="R40" s="438">
        <f t="shared" si="13"/>
        <v>401860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609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892</v>
      </c>
      <c r="C44" s="354"/>
      <c r="D44" s="355"/>
      <c r="E44" s="355"/>
      <c r="F44" s="355"/>
      <c r="G44" s="351"/>
      <c r="H44" s="356" t="s">
        <v>610</v>
      </c>
      <c r="I44" s="356"/>
      <c r="J44" s="356"/>
      <c r="K44" s="609"/>
      <c r="L44" s="609"/>
      <c r="M44" s="609"/>
      <c r="N44" s="609"/>
      <c r="O44" s="598" t="s">
        <v>783</v>
      </c>
      <c r="P44" s="599"/>
      <c r="Q44" s="599"/>
      <c r="R44" s="599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7">
      <selection activeCell="D85" sqref="D85"/>
    </sheetView>
  </sheetViews>
  <sheetFormatPr defaultColWidth="9.00390625" defaultRowHeight="12.75"/>
  <cols>
    <col min="1" max="1" width="39.125" style="22" customWidth="1"/>
    <col min="2" max="2" width="10.50390625" style="102" customWidth="1"/>
    <col min="3" max="3" width="22.625" style="22" customWidth="1"/>
    <col min="4" max="4" width="21.375" style="22" customWidth="1"/>
    <col min="5" max="5" width="13.125" style="22" customWidth="1"/>
    <col min="6" max="6" width="14.875" style="22" customWidth="1"/>
    <col min="7" max="26" width="10.625" style="22" hidden="1" customWidth="1"/>
    <col min="27" max="16384" width="10.625" style="22" customWidth="1"/>
  </cols>
  <sheetData>
    <row r="1" spans="1:6" ht="24" customHeight="1">
      <c r="A1" s="617" t="s">
        <v>611</v>
      </c>
      <c r="B1" s="617"/>
      <c r="C1" s="617"/>
      <c r="D1" s="617"/>
      <c r="E1" s="617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385</v>
      </c>
      <c r="B3" s="620" t="str">
        <f>'справка №1-БАЛАНС'!E3</f>
        <v>Химимпорт АД</v>
      </c>
      <c r="C3" s="621"/>
      <c r="D3" s="526" t="s">
        <v>2</v>
      </c>
      <c r="E3" s="107" t="str">
        <f>'справка №1-БАЛАНС'!H3</f>
        <v> 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8">
        <f>'справка №1-БАЛАНС'!E5</f>
        <v>39447</v>
      </c>
      <c r="C4" s="619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612</v>
      </c>
      <c r="B5" s="496"/>
      <c r="C5" s="497"/>
      <c r="D5" s="107"/>
      <c r="E5" s="498" t="s">
        <v>613</v>
      </c>
    </row>
    <row r="6" spans="1:14" s="100" customFormat="1" ht="24">
      <c r="A6" s="389" t="s">
        <v>465</v>
      </c>
      <c r="B6" s="390" t="s">
        <v>8</v>
      </c>
      <c r="C6" s="391" t="s">
        <v>614</v>
      </c>
      <c r="D6" s="138" t="s">
        <v>615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616</v>
      </c>
      <c r="E7" s="124" t="s">
        <v>617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618</v>
      </c>
      <c r="B9" s="394" t="s">
        <v>619</v>
      </c>
      <c r="C9" s="108"/>
      <c r="D9" s="108"/>
      <c r="E9" s="120">
        <f>C9-D9</f>
        <v>0</v>
      </c>
      <c r="F9" s="106"/>
    </row>
    <row r="10" spans="1:6" ht="24">
      <c r="A10" s="393" t="s">
        <v>620</v>
      </c>
      <c r="B10" s="395"/>
      <c r="C10" s="104"/>
      <c r="D10" s="104"/>
      <c r="E10" s="120"/>
      <c r="F10" s="106"/>
    </row>
    <row r="11" spans="1:15" ht="24">
      <c r="A11" s="396" t="s">
        <v>621</v>
      </c>
      <c r="B11" s="397" t="s">
        <v>622</v>
      </c>
      <c r="C11" s="119">
        <f>SUM(C12:C14)</f>
        <v>72465</v>
      </c>
      <c r="D11" s="119">
        <f>SUM(D12:D14)</f>
        <v>0</v>
      </c>
      <c r="E11" s="120">
        <f>SUM(E12:E14)</f>
        <v>72465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623</v>
      </c>
      <c r="B12" s="397" t="s">
        <v>624</v>
      </c>
      <c r="C12" s="108">
        <f>'справка №1-БАЛАНС'!C47</f>
        <v>72465</v>
      </c>
      <c r="D12" s="108"/>
      <c r="E12" s="120">
        <f aca="true" t="shared" si="0" ref="E12:E42">C12-D12</f>
        <v>72465</v>
      </c>
      <c r="F12" s="106"/>
    </row>
    <row r="13" spans="1:6" ht="12">
      <c r="A13" s="396" t="s">
        <v>625</v>
      </c>
      <c r="B13" s="397" t="s">
        <v>626</v>
      </c>
      <c r="C13" s="108"/>
      <c r="D13" s="108"/>
      <c r="E13" s="120">
        <f t="shared" si="0"/>
        <v>0</v>
      </c>
      <c r="F13" s="106"/>
    </row>
    <row r="14" spans="1:6" ht="12">
      <c r="A14" s="396" t="s">
        <v>627</v>
      </c>
      <c r="B14" s="397" t="s">
        <v>628</v>
      </c>
      <c r="C14" s="108"/>
      <c r="D14" s="108"/>
      <c r="E14" s="120">
        <f t="shared" si="0"/>
        <v>0</v>
      </c>
      <c r="F14" s="106"/>
    </row>
    <row r="15" spans="1:6" ht="24">
      <c r="A15" s="396" t="s">
        <v>629</v>
      </c>
      <c r="B15" s="397" t="s">
        <v>630</v>
      </c>
      <c r="C15" s="108"/>
      <c r="D15" s="108"/>
      <c r="E15" s="120">
        <f t="shared" si="0"/>
        <v>0</v>
      </c>
      <c r="F15" s="106"/>
    </row>
    <row r="16" spans="1:15" ht="12">
      <c r="A16" s="396" t="s">
        <v>631</v>
      </c>
      <c r="B16" s="397" t="s">
        <v>632</v>
      </c>
      <c r="C16" s="119">
        <f>+C17+C18</f>
        <v>23168</v>
      </c>
      <c r="D16" s="119">
        <f>+D17+D18</f>
        <v>0</v>
      </c>
      <c r="E16" s="120">
        <f t="shared" si="0"/>
        <v>23168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633</v>
      </c>
      <c r="B17" s="397" t="s">
        <v>634</v>
      </c>
      <c r="C17" s="108"/>
      <c r="D17" s="108"/>
      <c r="E17" s="120">
        <f t="shared" si="0"/>
        <v>0</v>
      </c>
      <c r="F17" s="106"/>
    </row>
    <row r="18" spans="1:6" ht="12">
      <c r="A18" s="396" t="s">
        <v>627</v>
      </c>
      <c r="B18" s="397" t="s">
        <v>635</v>
      </c>
      <c r="C18" s="108">
        <f>'справка №1-БАЛАНС'!C50</f>
        <v>23168</v>
      </c>
      <c r="D18" s="108"/>
      <c r="E18" s="120">
        <f t="shared" si="0"/>
        <v>23168</v>
      </c>
      <c r="F18" s="106"/>
    </row>
    <row r="19" spans="1:15" ht="12">
      <c r="A19" s="398" t="s">
        <v>636</v>
      </c>
      <c r="B19" s="394" t="s">
        <v>637</v>
      </c>
      <c r="C19" s="104">
        <f>C11+C15+C16</f>
        <v>95633</v>
      </c>
      <c r="D19" s="104">
        <f>D11+D15+D16</f>
        <v>0</v>
      </c>
      <c r="E19" s="118">
        <f>E11+E15+E16</f>
        <v>95633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638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639</v>
      </c>
      <c r="B21" s="394" t="s">
        <v>640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24">
      <c r="A23" s="393" t="s">
        <v>641</v>
      </c>
      <c r="B23" s="399"/>
      <c r="C23" s="119"/>
      <c r="D23" s="104"/>
      <c r="E23" s="120"/>
      <c r="F23" s="106"/>
    </row>
    <row r="24" spans="1:15" ht="24">
      <c r="A24" s="396" t="s">
        <v>642</v>
      </c>
      <c r="B24" s="397" t="s">
        <v>643</v>
      </c>
      <c r="C24" s="119">
        <f>SUM(C25:C27)</f>
        <v>22741</v>
      </c>
      <c r="D24" s="119">
        <f>SUM(D25:D27)</f>
        <v>22741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644</v>
      </c>
      <c r="B25" s="397" t="s">
        <v>645</v>
      </c>
      <c r="C25" s="108">
        <f>'[2]Receiv_group'!$B$31-'[2]Receiv_group'!$B$21-'[2]Receiv_group'!$B$19</f>
        <v>2076</v>
      </c>
      <c r="D25" s="108">
        <v>2076</v>
      </c>
      <c r="E25" s="120">
        <f t="shared" si="0"/>
        <v>0</v>
      </c>
      <c r="F25" s="106"/>
    </row>
    <row r="26" spans="1:6" ht="12">
      <c r="A26" s="396" t="s">
        <v>646</v>
      </c>
      <c r="B26" s="397" t="s">
        <v>647</v>
      </c>
      <c r="C26" s="108">
        <f>'[2]Receiv_group'!$B$58</f>
        <v>1885</v>
      </c>
      <c r="D26" s="108">
        <v>1885</v>
      </c>
      <c r="E26" s="120">
        <f t="shared" si="0"/>
        <v>0</v>
      </c>
      <c r="F26" s="106"/>
    </row>
    <row r="27" spans="1:6" ht="12">
      <c r="A27" s="396" t="s">
        <v>648</v>
      </c>
      <c r="B27" s="397" t="s">
        <v>649</v>
      </c>
      <c r="C27" s="108">
        <v>18780</v>
      </c>
      <c r="D27" s="108">
        <v>18780</v>
      </c>
      <c r="E27" s="120">
        <f t="shared" si="0"/>
        <v>0</v>
      </c>
      <c r="F27" s="106"/>
    </row>
    <row r="28" spans="1:6" ht="12">
      <c r="A28" s="396" t="s">
        <v>650</v>
      </c>
      <c r="B28" s="397" t="s">
        <v>651</v>
      </c>
      <c r="C28" s="108">
        <v>4179</v>
      </c>
      <c r="D28" s="108">
        <v>4179</v>
      </c>
      <c r="E28" s="120">
        <f t="shared" si="0"/>
        <v>0</v>
      </c>
      <c r="F28" s="106"/>
    </row>
    <row r="29" spans="1:6" ht="12">
      <c r="A29" s="396" t="s">
        <v>652</v>
      </c>
      <c r="B29" s="397" t="s">
        <v>653</v>
      </c>
      <c r="C29" s="108">
        <v>0</v>
      </c>
      <c r="D29" s="108">
        <v>0</v>
      </c>
      <c r="E29" s="120">
        <f t="shared" si="0"/>
        <v>0</v>
      </c>
      <c r="F29" s="106"/>
    </row>
    <row r="30" spans="1:6" ht="24">
      <c r="A30" s="396" t="s">
        <v>654</v>
      </c>
      <c r="B30" s="397" t="s">
        <v>655</v>
      </c>
      <c r="C30" s="108">
        <v>76191</v>
      </c>
      <c r="D30" s="108">
        <v>76191</v>
      </c>
      <c r="E30" s="120">
        <f t="shared" si="0"/>
        <v>0</v>
      </c>
      <c r="F30" s="106"/>
    </row>
    <row r="31" spans="1:6" ht="12">
      <c r="A31" s="396" t="s">
        <v>656</v>
      </c>
      <c r="B31" s="397" t="s">
        <v>657</v>
      </c>
      <c r="C31" s="108">
        <v>145</v>
      </c>
      <c r="D31" s="108">
        <v>145</v>
      </c>
      <c r="E31" s="120">
        <f t="shared" si="0"/>
        <v>0</v>
      </c>
      <c r="F31" s="106"/>
    </row>
    <row r="32" spans="1:6" ht="12">
      <c r="A32" s="396" t="s">
        <v>658</v>
      </c>
      <c r="B32" s="397" t="s">
        <v>659</v>
      </c>
      <c r="C32" s="108"/>
      <c r="D32" s="108"/>
      <c r="E32" s="120">
        <f t="shared" si="0"/>
        <v>0</v>
      </c>
      <c r="F32" s="106"/>
    </row>
    <row r="33" spans="1:15" ht="12">
      <c r="A33" s="396" t="s">
        <v>660</v>
      </c>
      <c r="B33" s="397" t="s">
        <v>661</v>
      </c>
      <c r="C33" s="105">
        <f>SUM(C34:C37)</f>
        <v>39</v>
      </c>
      <c r="D33" s="105">
        <f>SUM(D34:D37)</f>
        <v>39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662</v>
      </c>
      <c r="B34" s="397" t="s">
        <v>663</v>
      </c>
      <c r="C34" s="108"/>
      <c r="D34" s="108"/>
      <c r="E34" s="120">
        <f t="shared" si="0"/>
        <v>0</v>
      </c>
      <c r="F34" s="106"/>
    </row>
    <row r="35" spans="1:6" ht="12">
      <c r="A35" s="396" t="s">
        <v>664</v>
      </c>
      <c r="B35" s="397" t="s">
        <v>665</v>
      </c>
      <c r="C35" s="108">
        <f>'[2]Receiv_Other'!$F$22</f>
        <v>39</v>
      </c>
      <c r="D35" s="108">
        <v>39</v>
      </c>
      <c r="E35" s="120">
        <f t="shared" si="0"/>
        <v>0</v>
      </c>
      <c r="F35" s="106"/>
    </row>
    <row r="36" spans="1:6" ht="12">
      <c r="A36" s="396" t="s">
        <v>666</v>
      </c>
      <c r="B36" s="397" t="s">
        <v>667</v>
      </c>
      <c r="C36" s="108"/>
      <c r="D36" s="108"/>
      <c r="E36" s="120">
        <f t="shared" si="0"/>
        <v>0</v>
      </c>
      <c r="F36" s="106"/>
    </row>
    <row r="37" spans="1:6" ht="12">
      <c r="A37" s="396" t="s">
        <v>668</v>
      </c>
      <c r="B37" s="397" t="s">
        <v>669</v>
      </c>
      <c r="C37" s="108"/>
      <c r="D37" s="108"/>
      <c r="E37" s="120">
        <f t="shared" si="0"/>
        <v>0</v>
      </c>
      <c r="F37" s="106"/>
    </row>
    <row r="38" spans="1:15" ht="12">
      <c r="A38" s="396" t="s">
        <v>670</v>
      </c>
      <c r="B38" s="397" t="s">
        <v>671</v>
      </c>
      <c r="C38" s="119">
        <f>SUM(C39:C42)</f>
        <v>9961</v>
      </c>
      <c r="D38" s="105">
        <f>SUM(D39:D42)</f>
        <v>9961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672</v>
      </c>
      <c r="B39" s="397" t="s">
        <v>673</v>
      </c>
      <c r="C39" s="108"/>
      <c r="D39" s="108"/>
      <c r="E39" s="120">
        <f t="shared" si="0"/>
        <v>0</v>
      </c>
      <c r="F39" s="106"/>
    </row>
    <row r="40" spans="1:6" ht="12">
      <c r="A40" s="396" t="s">
        <v>674</v>
      </c>
      <c r="B40" s="397" t="s">
        <v>675</v>
      </c>
      <c r="C40" s="108"/>
      <c r="D40" s="108"/>
      <c r="E40" s="120">
        <f t="shared" si="0"/>
        <v>0</v>
      </c>
      <c r="F40" s="106"/>
    </row>
    <row r="41" spans="1:6" ht="12">
      <c r="A41" s="396" t="s">
        <v>676</v>
      </c>
      <c r="B41" s="397" t="s">
        <v>677</v>
      </c>
      <c r="C41" s="108"/>
      <c r="D41" s="108"/>
      <c r="E41" s="120">
        <f t="shared" si="0"/>
        <v>0</v>
      </c>
      <c r="F41" s="106"/>
    </row>
    <row r="42" spans="1:6" ht="12">
      <c r="A42" s="396" t="s">
        <v>678</v>
      </c>
      <c r="B42" s="397" t="s">
        <v>679</v>
      </c>
      <c r="C42" s="108">
        <f>'справка №1-БАЛАНС'!C74-'[2]Receiv_Other'!$F$81-'[2]Receiv_Other'!$B$80</f>
        <v>9961</v>
      </c>
      <c r="D42" s="108">
        <v>9961</v>
      </c>
      <c r="E42" s="120">
        <f t="shared" si="0"/>
        <v>0</v>
      </c>
      <c r="F42" s="106"/>
    </row>
    <row r="43" spans="1:15" ht="12">
      <c r="A43" s="398" t="s">
        <v>680</v>
      </c>
      <c r="B43" s="394" t="s">
        <v>681</v>
      </c>
      <c r="C43" s="104">
        <f>C24+C28+C29+C31+C30+C32+C33+C38</f>
        <v>113256</v>
      </c>
      <c r="D43" s="104">
        <f>D24+D28+D29+D31+D30+D32+D33+D38</f>
        <v>113256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682</v>
      </c>
      <c r="B44" s="395" t="s">
        <v>683</v>
      </c>
      <c r="C44" s="103">
        <f>C43+C21+C19+C9</f>
        <v>208889</v>
      </c>
      <c r="D44" s="103">
        <f>D43+D21+D19+D9</f>
        <v>113256</v>
      </c>
      <c r="E44" s="118">
        <f>E43+E21+E19+E9</f>
        <v>95633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684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465</v>
      </c>
      <c r="B48" s="390" t="s">
        <v>8</v>
      </c>
      <c r="C48" s="404" t="s">
        <v>685</v>
      </c>
      <c r="D48" s="138" t="s">
        <v>686</v>
      </c>
      <c r="E48" s="138"/>
      <c r="F48" s="138" t="s">
        <v>687</v>
      </c>
    </row>
    <row r="49" spans="1:6" s="100" customFormat="1" ht="12">
      <c r="A49" s="389"/>
      <c r="B49" s="392"/>
      <c r="C49" s="404"/>
      <c r="D49" s="393" t="s">
        <v>616</v>
      </c>
      <c r="E49" s="393" t="s">
        <v>617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24">
      <c r="A51" s="393" t="s">
        <v>688</v>
      </c>
      <c r="B51" s="399"/>
      <c r="C51" s="103"/>
      <c r="D51" s="103"/>
      <c r="E51" s="103"/>
      <c r="F51" s="405"/>
    </row>
    <row r="52" spans="1:16" ht="24">
      <c r="A52" s="396" t="s">
        <v>689</v>
      </c>
      <c r="B52" s="397" t="s">
        <v>690</v>
      </c>
      <c r="C52" s="103">
        <f>SUM(C53:C55)</f>
        <v>88904</v>
      </c>
      <c r="D52" s="103">
        <f>SUM(D53:D55)</f>
        <v>0</v>
      </c>
      <c r="E52" s="119">
        <f>C52-D52</f>
        <v>88904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691</v>
      </c>
      <c r="B53" s="397" t="s">
        <v>692</v>
      </c>
      <c r="C53" s="108">
        <f>'[2]Payables_group'!$B$12</f>
        <v>88904</v>
      </c>
      <c r="D53" s="108"/>
      <c r="E53" s="119">
        <f>C53-D53</f>
        <v>88904</v>
      </c>
      <c r="F53" s="108"/>
    </row>
    <row r="54" spans="1:6" ht="12">
      <c r="A54" s="396" t="s">
        <v>693</v>
      </c>
      <c r="B54" s="397" t="s">
        <v>694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678</v>
      </c>
      <c r="B55" s="397" t="s">
        <v>695</v>
      </c>
      <c r="C55" s="108"/>
      <c r="D55" s="108"/>
      <c r="E55" s="119">
        <f t="shared" si="1"/>
        <v>0</v>
      </c>
      <c r="F55" s="108"/>
    </row>
    <row r="56" spans="1:16" ht="36">
      <c r="A56" s="396" t="s">
        <v>696</v>
      </c>
      <c r="B56" s="397" t="s">
        <v>697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698</v>
      </c>
      <c r="B57" s="397" t="s">
        <v>699</v>
      </c>
      <c r="C57" s="108">
        <f>'справка №1-БАЛАНС'!G44</f>
        <v>0</v>
      </c>
      <c r="D57" s="108"/>
      <c r="E57" s="119">
        <f t="shared" si="1"/>
        <v>0</v>
      </c>
      <c r="F57" s="108"/>
    </row>
    <row r="58" spans="1:6" ht="12">
      <c r="A58" s="406" t="s">
        <v>700</v>
      </c>
      <c r="B58" s="397" t="s">
        <v>701</v>
      </c>
      <c r="C58" s="109"/>
      <c r="D58" s="109"/>
      <c r="E58" s="119">
        <f t="shared" si="1"/>
        <v>0</v>
      </c>
      <c r="F58" s="109"/>
    </row>
    <row r="59" spans="1:6" ht="24">
      <c r="A59" s="406" t="s">
        <v>702</v>
      </c>
      <c r="B59" s="397" t="s">
        <v>703</v>
      </c>
      <c r="C59" s="108"/>
      <c r="D59" s="108"/>
      <c r="E59" s="119">
        <f t="shared" si="1"/>
        <v>0</v>
      </c>
      <c r="F59" s="108"/>
    </row>
    <row r="60" spans="1:6" ht="12">
      <c r="A60" s="406" t="s">
        <v>700</v>
      </c>
      <c r="B60" s="397" t="s">
        <v>704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705</v>
      </c>
      <c r="C61" s="108"/>
      <c r="D61" s="108"/>
      <c r="E61" s="119">
        <f t="shared" si="1"/>
        <v>0</v>
      </c>
      <c r="F61" s="110"/>
    </row>
    <row r="62" spans="1:6" ht="24">
      <c r="A62" s="396" t="s">
        <v>141</v>
      </c>
      <c r="B62" s="397" t="s">
        <v>706</v>
      </c>
      <c r="C62" s="108"/>
      <c r="D62" s="108"/>
      <c r="E62" s="119">
        <f t="shared" si="1"/>
        <v>0</v>
      </c>
      <c r="F62" s="110"/>
    </row>
    <row r="63" spans="1:6" ht="12">
      <c r="A63" s="396" t="s">
        <v>707</v>
      </c>
      <c r="B63" s="397" t="s">
        <v>708</v>
      </c>
      <c r="C63" s="108"/>
      <c r="D63" s="108"/>
      <c r="E63" s="119">
        <f t="shared" si="1"/>
        <v>0</v>
      </c>
      <c r="F63" s="110"/>
    </row>
    <row r="64" spans="1:6" ht="12">
      <c r="A64" s="396" t="s">
        <v>709</v>
      </c>
      <c r="B64" s="397" t="s">
        <v>710</v>
      </c>
      <c r="C64" s="108">
        <f>'справка №1-БАЛАНС'!G48</f>
        <v>0</v>
      </c>
      <c r="D64" s="108"/>
      <c r="E64" s="119">
        <f t="shared" si="1"/>
        <v>0</v>
      </c>
      <c r="F64" s="110"/>
    </row>
    <row r="65" spans="1:6" ht="12">
      <c r="A65" s="396" t="s">
        <v>711</v>
      </c>
      <c r="B65" s="397" t="s">
        <v>712</v>
      </c>
      <c r="C65" s="109"/>
      <c r="D65" s="109"/>
      <c r="E65" s="119">
        <f t="shared" si="1"/>
        <v>0</v>
      </c>
      <c r="F65" s="111"/>
    </row>
    <row r="66" spans="1:16" ht="12">
      <c r="A66" s="398" t="s">
        <v>713</v>
      </c>
      <c r="B66" s="394" t="s">
        <v>714</v>
      </c>
      <c r="C66" s="103">
        <f>C52+C56+C61+C62+C63+C64</f>
        <v>88904</v>
      </c>
      <c r="D66" s="103">
        <f>D52+D56+D61+D62+D63+D64</f>
        <v>0</v>
      </c>
      <c r="E66" s="119">
        <f t="shared" si="1"/>
        <v>88904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715</v>
      </c>
      <c r="B67" s="395"/>
      <c r="C67" s="104"/>
      <c r="D67" s="104"/>
      <c r="E67" s="119"/>
      <c r="F67" s="112"/>
    </row>
    <row r="68" spans="1:6" ht="12">
      <c r="A68" s="396" t="s">
        <v>716</v>
      </c>
      <c r="B68" s="407" t="s">
        <v>717</v>
      </c>
      <c r="C68" s="108">
        <v>539</v>
      </c>
      <c r="D68" s="108"/>
      <c r="E68" s="119">
        <f t="shared" si="1"/>
        <v>539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24">
      <c r="A70" s="393" t="s">
        <v>718</v>
      </c>
      <c r="B70" s="399"/>
      <c r="C70" s="104"/>
      <c r="D70" s="104"/>
      <c r="E70" s="119"/>
      <c r="F70" s="112"/>
    </row>
    <row r="71" spans="1:16" ht="24">
      <c r="A71" s="396" t="s">
        <v>689</v>
      </c>
      <c r="B71" s="397" t="s">
        <v>719</v>
      </c>
      <c r="C71" s="105">
        <f>SUM(C72:C74)</f>
        <v>178597</v>
      </c>
      <c r="D71" s="105">
        <f>SUM(D72:D74)</f>
        <v>178597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720</v>
      </c>
      <c r="B72" s="397" t="s">
        <v>721</v>
      </c>
      <c r="C72" s="108">
        <v>1000</v>
      </c>
      <c r="D72" s="108">
        <v>1000</v>
      </c>
      <c r="E72" s="119">
        <f t="shared" si="1"/>
        <v>0</v>
      </c>
      <c r="F72" s="110"/>
    </row>
    <row r="73" spans="1:6" ht="12">
      <c r="A73" s="396" t="s">
        <v>722</v>
      </c>
      <c r="B73" s="397" t="s">
        <v>723</v>
      </c>
      <c r="C73" s="108"/>
      <c r="D73" s="108"/>
      <c r="E73" s="119">
        <f t="shared" si="1"/>
        <v>0</v>
      </c>
      <c r="F73" s="110"/>
    </row>
    <row r="74" spans="1:6" ht="12">
      <c r="A74" s="408" t="s">
        <v>724</v>
      </c>
      <c r="B74" s="397" t="s">
        <v>725</v>
      </c>
      <c r="C74" s="108">
        <v>177597</v>
      </c>
      <c r="D74" s="108">
        <v>177597</v>
      </c>
      <c r="E74" s="119">
        <f t="shared" si="1"/>
        <v>0</v>
      </c>
      <c r="F74" s="110"/>
    </row>
    <row r="75" spans="1:16" ht="36">
      <c r="A75" s="396" t="s">
        <v>696</v>
      </c>
      <c r="B75" s="397" t="s">
        <v>726</v>
      </c>
      <c r="C75" s="103">
        <f>C76+C78</f>
        <v>20038</v>
      </c>
      <c r="D75" s="103">
        <f>D76+D78</f>
        <v>20038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727</v>
      </c>
      <c r="B76" s="397" t="s">
        <v>728</v>
      </c>
      <c r="C76" s="108">
        <v>20038</v>
      </c>
      <c r="D76" s="108">
        <v>20038</v>
      </c>
      <c r="E76" s="119">
        <f t="shared" si="1"/>
        <v>0</v>
      </c>
      <c r="F76" s="108"/>
    </row>
    <row r="77" spans="1:6" ht="12">
      <c r="A77" s="396" t="s">
        <v>729</v>
      </c>
      <c r="B77" s="397" t="s">
        <v>730</v>
      </c>
      <c r="C77" s="109"/>
      <c r="D77" s="109"/>
      <c r="E77" s="119">
        <f t="shared" si="1"/>
        <v>0</v>
      </c>
      <c r="F77" s="109"/>
    </row>
    <row r="78" spans="1:6" ht="12">
      <c r="A78" s="396" t="s">
        <v>731</v>
      </c>
      <c r="B78" s="397" t="s">
        <v>732</v>
      </c>
      <c r="C78" s="108"/>
      <c r="D78" s="108"/>
      <c r="E78" s="119">
        <f t="shared" si="1"/>
        <v>0</v>
      </c>
      <c r="F78" s="108"/>
    </row>
    <row r="79" spans="1:6" ht="12">
      <c r="A79" s="396" t="s">
        <v>700</v>
      </c>
      <c r="B79" s="397" t="s">
        <v>733</v>
      </c>
      <c r="C79" s="109"/>
      <c r="D79" s="109"/>
      <c r="E79" s="119">
        <f t="shared" si="1"/>
        <v>0</v>
      </c>
      <c r="F79" s="109"/>
    </row>
    <row r="80" spans="1:16" ht="12">
      <c r="A80" s="396" t="s">
        <v>734</v>
      </c>
      <c r="B80" s="397" t="s">
        <v>735</v>
      </c>
      <c r="C80" s="103">
        <f>SUM(C81:C84)</f>
        <v>1721</v>
      </c>
      <c r="D80" s="103">
        <f>SUM(D81:D84)</f>
        <v>1721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736</v>
      </c>
      <c r="B81" s="397" t="s">
        <v>737</v>
      </c>
      <c r="C81" s="108"/>
      <c r="D81" s="108"/>
      <c r="E81" s="119">
        <f t="shared" si="1"/>
        <v>0</v>
      </c>
      <c r="F81" s="108"/>
    </row>
    <row r="82" spans="1:6" ht="12">
      <c r="A82" s="396" t="s">
        <v>738</v>
      </c>
      <c r="B82" s="397" t="s">
        <v>739</v>
      </c>
      <c r="C82" s="108"/>
      <c r="D82" s="108"/>
      <c r="E82" s="119">
        <f t="shared" si="1"/>
        <v>0</v>
      </c>
      <c r="F82" s="108"/>
    </row>
    <row r="83" spans="1:6" ht="24">
      <c r="A83" s="396" t="s">
        <v>740</v>
      </c>
      <c r="B83" s="397" t="s">
        <v>741</v>
      </c>
      <c r="C83" s="108">
        <f>'[2]Notes'!$B$237+'[2]Notes'!$B$236</f>
        <v>1625</v>
      </c>
      <c r="D83" s="108">
        <v>1625</v>
      </c>
      <c r="E83" s="119">
        <f t="shared" si="1"/>
        <v>0</v>
      </c>
      <c r="F83" s="108"/>
    </row>
    <row r="84" spans="1:6" ht="12">
      <c r="A84" s="396" t="s">
        <v>742</v>
      </c>
      <c r="B84" s="397" t="s">
        <v>743</v>
      </c>
      <c r="C84" s="108">
        <f>'[2]Payables_Other'!$B$16</f>
        <v>96</v>
      </c>
      <c r="D84" s="108">
        <v>96</v>
      </c>
      <c r="E84" s="119">
        <f t="shared" si="1"/>
        <v>0</v>
      </c>
      <c r="F84" s="108"/>
    </row>
    <row r="85" spans="1:16" ht="12">
      <c r="A85" s="396" t="s">
        <v>744</v>
      </c>
      <c r="B85" s="397" t="s">
        <v>745</v>
      </c>
      <c r="C85" s="104">
        <f>SUM(C86:C90)+C94</f>
        <v>7245</v>
      </c>
      <c r="D85" s="104">
        <f>SUM(D86:D90)+D94</f>
        <v>17534</v>
      </c>
      <c r="E85" s="104">
        <f>SUM(E86:E90)+E94</f>
        <v>-10289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746</v>
      </c>
      <c r="B86" s="397" t="s">
        <v>747</v>
      </c>
      <c r="C86" s="108"/>
      <c r="D86" s="108"/>
      <c r="E86" s="119">
        <f t="shared" si="1"/>
        <v>0</v>
      </c>
      <c r="F86" s="108"/>
    </row>
    <row r="87" spans="1:6" ht="12">
      <c r="A87" s="396" t="s">
        <v>748</v>
      </c>
      <c r="B87" s="397" t="s">
        <v>749</v>
      </c>
      <c r="C87" s="108">
        <f>'[2]търговски'!$B$22-'[2]търговски'!$B$7-'[2]търговски'!$B$8</f>
        <v>5823</v>
      </c>
      <c r="D87" s="108">
        <v>16913</v>
      </c>
      <c r="E87" s="119">
        <f t="shared" si="1"/>
        <v>-11090</v>
      </c>
      <c r="F87" s="108"/>
    </row>
    <row r="88" spans="1:6" ht="12">
      <c r="A88" s="396" t="s">
        <v>750</v>
      </c>
      <c r="B88" s="397" t="s">
        <v>751</v>
      </c>
      <c r="C88" s="108"/>
      <c r="D88" s="108"/>
      <c r="E88" s="119">
        <f t="shared" si="1"/>
        <v>0</v>
      </c>
      <c r="F88" s="108"/>
    </row>
    <row r="89" spans="1:6" ht="12">
      <c r="A89" s="396" t="s">
        <v>752</v>
      </c>
      <c r="B89" s="397" t="s">
        <v>753</v>
      </c>
      <c r="C89" s="108">
        <f>'[2]Notes'!$B$254</f>
        <v>709</v>
      </c>
      <c r="D89" s="108">
        <v>557</v>
      </c>
      <c r="E89" s="119">
        <f t="shared" si="1"/>
        <v>152</v>
      </c>
      <c r="F89" s="108"/>
    </row>
    <row r="90" spans="1:16" ht="12">
      <c r="A90" s="396" t="s">
        <v>754</v>
      </c>
      <c r="B90" s="397" t="s">
        <v>755</v>
      </c>
      <c r="C90" s="103">
        <f>SUM(C91:C93)</f>
        <v>665</v>
      </c>
      <c r="D90" s="103">
        <f>SUM(D91:D93)</f>
        <v>48</v>
      </c>
      <c r="E90" s="103">
        <f>SUM(E91:E93)</f>
        <v>617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756</v>
      </c>
      <c r="B91" s="397" t="s">
        <v>757</v>
      </c>
      <c r="C91" s="108">
        <f>'[2]Notes'!$B$263</f>
        <v>664</v>
      </c>
      <c r="D91" s="108">
        <v>40</v>
      </c>
      <c r="E91" s="119">
        <f t="shared" si="1"/>
        <v>624</v>
      </c>
      <c r="F91" s="108"/>
    </row>
    <row r="92" spans="1:6" ht="12">
      <c r="A92" s="396" t="s">
        <v>664</v>
      </c>
      <c r="B92" s="397" t="s">
        <v>758</v>
      </c>
      <c r="C92" s="108"/>
      <c r="D92" s="108"/>
      <c r="E92" s="119">
        <f t="shared" si="1"/>
        <v>0</v>
      </c>
      <c r="F92" s="108"/>
    </row>
    <row r="93" spans="1:6" ht="12">
      <c r="A93" s="396" t="s">
        <v>668</v>
      </c>
      <c r="B93" s="397" t="s">
        <v>759</v>
      </c>
      <c r="C93" s="108">
        <f>'[2]Notes'!$B$265</f>
        <v>1</v>
      </c>
      <c r="D93" s="108">
        <v>8</v>
      </c>
      <c r="E93" s="119">
        <f t="shared" si="1"/>
        <v>-7</v>
      </c>
      <c r="F93" s="108"/>
    </row>
    <row r="94" spans="1:6" ht="24">
      <c r="A94" s="396" t="s">
        <v>760</v>
      </c>
      <c r="B94" s="397" t="s">
        <v>761</v>
      </c>
      <c r="C94" s="108">
        <f>'[2]Notes'!$B$255</f>
        <v>48</v>
      </c>
      <c r="D94" s="108">
        <v>16</v>
      </c>
      <c r="E94" s="119">
        <f t="shared" si="1"/>
        <v>32</v>
      </c>
      <c r="F94" s="108"/>
    </row>
    <row r="95" spans="1:6" ht="12">
      <c r="A95" s="396" t="s">
        <v>762</v>
      </c>
      <c r="B95" s="397" t="s">
        <v>763</v>
      </c>
      <c r="C95" s="108">
        <f>'[2]Payables_Other'!$B$23-'[2]Payables_Other'!$B$22-'[2]Payables_Other'!$B$16</f>
        <v>3783</v>
      </c>
      <c r="D95" s="108">
        <v>14332</v>
      </c>
      <c r="E95" s="119">
        <f t="shared" si="1"/>
        <v>-10549</v>
      </c>
      <c r="F95" s="110"/>
    </row>
    <row r="96" spans="1:16" ht="12">
      <c r="A96" s="398" t="s">
        <v>764</v>
      </c>
      <c r="B96" s="407" t="s">
        <v>765</v>
      </c>
      <c r="C96" s="104">
        <f>C85+C80+C75+C71+C95</f>
        <v>211384</v>
      </c>
      <c r="D96" s="104">
        <f>D85+D80+D75+D71+D95</f>
        <v>232222</v>
      </c>
      <c r="E96" s="104">
        <f>E85+E80+E75+E71+E95</f>
        <v>-20838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766</v>
      </c>
      <c r="B97" s="395" t="s">
        <v>767</v>
      </c>
      <c r="C97" s="104">
        <f>C96+C68+C66</f>
        <v>300827</v>
      </c>
      <c r="D97" s="104">
        <f>D96+D68+D66</f>
        <v>232222</v>
      </c>
      <c r="E97" s="104">
        <f>E96+E68+E66</f>
        <v>68605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768</v>
      </c>
      <c r="B99" s="410"/>
      <c r="C99" s="113"/>
      <c r="D99" s="113"/>
      <c r="E99" s="113"/>
      <c r="F99" s="411" t="s">
        <v>526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465</v>
      </c>
      <c r="B100" s="395" t="s">
        <v>466</v>
      </c>
      <c r="C100" s="115" t="s">
        <v>769</v>
      </c>
      <c r="D100" s="115" t="s">
        <v>770</v>
      </c>
      <c r="E100" s="115" t="s">
        <v>771</v>
      </c>
      <c r="F100" s="115" t="s">
        <v>772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773</v>
      </c>
      <c r="B102" s="397" t="s">
        <v>774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775</v>
      </c>
      <c r="B103" s="397" t="s">
        <v>776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777</v>
      </c>
      <c r="B104" s="397" t="s">
        <v>778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779</v>
      </c>
      <c r="B105" s="395" t="s">
        <v>780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781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6" t="s">
        <v>782</v>
      </c>
      <c r="B107" s="616"/>
      <c r="C107" s="616"/>
      <c r="D107" s="616"/>
      <c r="E107" s="616"/>
      <c r="F107" s="616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5" t="s">
        <v>893</v>
      </c>
      <c r="B109" s="615"/>
      <c r="C109" s="615" t="s">
        <v>383</v>
      </c>
      <c r="D109" s="615"/>
      <c r="E109" s="615"/>
      <c r="F109" s="615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4" t="s">
        <v>783</v>
      </c>
      <c r="D111" s="614"/>
      <c r="E111" s="614"/>
      <c r="F111" s="614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F19" sqref="F19"/>
    </sheetView>
  </sheetViews>
  <sheetFormatPr defaultColWidth="9.00390625" defaultRowHeight="12.75"/>
  <cols>
    <col min="1" max="1" width="52.625" style="107" customWidth="1"/>
    <col min="2" max="2" width="9.125" style="524" customWidth="1"/>
    <col min="3" max="3" width="12.875" style="107" customWidth="1"/>
    <col min="4" max="4" width="12.625" style="107" customWidth="1"/>
    <col min="5" max="5" width="12.875" style="107" customWidth="1"/>
    <col min="6" max="6" width="11.50390625" style="107" customWidth="1"/>
    <col min="7" max="7" width="12.50390625" style="107" customWidth="1"/>
    <col min="8" max="8" width="14.125" style="107" customWidth="1"/>
    <col min="9" max="9" width="14.00390625" style="107" customWidth="1"/>
    <col min="10" max="16384" width="10.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784</v>
      </c>
      <c r="F2" s="418"/>
      <c r="G2" s="418"/>
      <c r="H2" s="416"/>
      <c r="I2" s="416"/>
    </row>
    <row r="3" spans="1:9" ht="12">
      <c r="A3" s="416"/>
      <c r="B3" s="417"/>
      <c r="C3" s="419" t="s">
        <v>785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385</v>
      </c>
      <c r="B4" s="622" t="str">
        <f>'справка №1-БАЛАНС'!E3</f>
        <v>Химимпорт АД</v>
      </c>
      <c r="C4" s="622"/>
      <c r="D4" s="622"/>
      <c r="E4" s="622"/>
      <c r="F4" s="622"/>
      <c r="G4" s="628" t="s">
        <v>2</v>
      </c>
      <c r="H4" s="628"/>
      <c r="I4" s="500" t="str">
        <f>'справка №1-БАЛАНС'!H3</f>
        <v> </v>
      </c>
    </row>
    <row r="5" spans="1:9" ht="15">
      <c r="A5" s="501" t="s">
        <v>5</v>
      </c>
      <c r="B5" s="623">
        <f>'справка №1-БАЛАНС'!E5</f>
        <v>39447</v>
      </c>
      <c r="C5" s="623"/>
      <c r="D5" s="623"/>
      <c r="E5" s="623"/>
      <c r="F5" s="623"/>
      <c r="G5" s="626" t="s">
        <v>4</v>
      </c>
      <c r="H5" s="627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786</v>
      </c>
    </row>
    <row r="7" spans="1:9" s="520" customFormat="1" ht="12">
      <c r="A7" s="140" t="s">
        <v>465</v>
      </c>
      <c r="B7" s="79"/>
      <c r="C7" s="140" t="s">
        <v>787</v>
      </c>
      <c r="D7" s="141"/>
      <c r="E7" s="142"/>
      <c r="F7" s="143" t="s">
        <v>788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789</v>
      </c>
      <c r="D8" s="82" t="s">
        <v>790</v>
      </c>
      <c r="E8" s="82" t="s">
        <v>791</v>
      </c>
      <c r="F8" s="142" t="s">
        <v>792</v>
      </c>
      <c r="G8" s="144" t="s">
        <v>793</v>
      </c>
      <c r="H8" s="144"/>
      <c r="I8" s="144" t="s">
        <v>794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537</v>
      </c>
      <c r="H9" s="80" t="s">
        <v>538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795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796</v>
      </c>
      <c r="B12" s="90" t="s">
        <v>797</v>
      </c>
      <c r="C12" s="439">
        <v>1920891</v>
      </c>
      <c r="D12" s="98"/>
      <c r="E12" s="98"/>
      <c r="F12" s="98">
        <v>14392</v>
      </c>
      <c r="G12" s="98"/>
      <c r="H12" s="98"/>
      <c r="I12" s="434">
        <f>F12+G12-H12</f>
        <v>14392</v>
      </c>
    </row>
    <row r="13" spans="1:9" s="521" customFormat="1" ht="12">
      <c r="A13" s="76" t="s">
        <v>798</v>
      </c>
      <c r="B13" s="90" t="s">
        <v>799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597</v>
      </c>
      <c r="B14" s="90" t="s">
        <v>800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801</v>
      </c>
      <c r="B15" s="90" t="s">
        <v>802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803</v>
      </c>
      <c r="C16" s="98">
        <f>87430+78000</f>
        <v>165430</v>
      </c>
      <c r="D16" s="98"/>
      <c r="E16" s="98"/>
      <c r="F16" s="98">
        <v>4578</v>
      </c>
      <c r="G16" s="98"/>
      <c r="H16" s="98"/>
      <c r="I16" s="434">
        <f t="shared" si="0"/>
        <v>4578</v>
      </c>
    </row>
    <row r="17" spans="1:9" s="521" customFormat="1" ht="12">
      <c r="A17" s="91" t="s">
        <v>566</v>
      </c>
      <c r="B17" s="92" t="s">
        <v>804</v>
      </c>
      <c r="C17" s="85">
        <f aca="true" t="shared" si="1" ref="C17:H17">C12+C13+C15+C16</f>
        <v>2086321</v>
      </c>
      <c r="D17" s="85">
        <f t="shared" si="1"/>
        <v>0</v>
      </c>
      <c r="E17" s="85">
        <f t="shared" si="1"/>
        <v>0</v>
      </c>
      <c r="F17" s="85">
        <f t="shared" si="1"/>
        <v>18970</v>
      </c>
      <c r="G17" s="85">
        <f t="shared" si="1"/>
        <v>0</v>
      </c>
      <c r="H17" s="85">
        <f t="shared" si="1"/>
        <v>0</v>
      </c>
      <c r="I17" s="434">
        <f t="shared" si="0"/>
        <v>18970</v>
      </c>
    </row>
    <row r="18" spans="1:9" s="521" customFormat="1" ht="12">
      <c r="A18" s="88" t="s">
        <v>805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796</v>
      </c>
      <c r="B19" s="90" t="s">
        <v>806</v>
      </c>
      <c r="C19" s="98">
        <f>23370</f>
        <v>23370</v>
      </c>
      <c r="D19" s="98"/>
      <c r="E19" s="98"/>
      <c r="F19" s="98">
        <v>2745</v>
      </c>
      <c r="G19" s="98"/>
      <c r="H19" s="98"/>
      <c r="I19" s="434">
        <f t="shared" si="0"/>
        <v>2745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807</v>
      </c>
      <c r="B20" s="90" t="s">
        <v>808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809</v>
      </c>
      <c r="B21" s="90" t="s">
        <v>810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811</v>
      </c>
      <c r="B22" s="90" t="s">
        <v>812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813</v>
      </c>
      <c r="B23" s="90" t="s">
        <v>814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815</v>
      </c>
      <c r="B24" s="90" t="s">
        <v>816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817</v>
      </c>
      <c r="B25" s="95" t="s">
        <v>818</v>
      </c>
      <c r="C25" s="98">
        <f>439107+446612+4011337+473671</f>
        <v>5370727</v>
      </c>
      <c r="D25" s="98"/>
      <c r="E25" s="98"/>
      <c r="F25" s="98">
        <v>61289</v>
      </c>
      <c r="G25" s="98"/>
      <c r="H25" s="98"/>
      <c r="I25" s="434">
        <f t="shared" si="0"/>
        <v>61289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583</v>
      </c>
      <c r="B26" s="92" t="s">
        <v>819</v>
      </c>
      <c r="C26" s="85">
        <f aca="true" t="shared" si="2" ref="C26:H26">SUM(C19:C25)</f>
        <v>5394097</v>
      </c>
      <c r="D26" s="85">
        <f t="shared" si="2"/>
        <v>0</v>
      </c>
      <c r="E26" s="85">
        <f t="shared" si="2"/>
        <v>0</v>
      </c>
      <c r="F26" s="85">
        <f t="shared" si="2"/>
        <v>64034</v>
      </c>
      <c r="G26" s="85">
        <f t="shared" si="2"/>
        <v>0</v>
      </c>
      <c r="H26" s="85">
        <f t="shared" si="2"/>
        <v>0</v>
      </c>
      <c r="I26" s="434">
        <f t="shared" si="0"/>
        <v>64034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24">
      <c r="A28" s="196" t="s">
        <v>820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893</v>
      </c>
      <c r="B30" s="625"/>
      <c r="C30" s="625"/>
      <c r="D30" s="459" t="s">
        <v>821</v>
      </c>
      <c r="E30" s="624"/>
      <c r="F30" s="624"/>
      <c r="G30" s="624"/>
      <c r="H30" s="420" t="s">
        <v>783</v>
      </c>
      <c r="I30" s="624"/>
      <c r="J30" s="624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5"/>
  <sheetViews>
    <sheetView workbookViewId="0" topLeftCell="A118">
      <selection activeCell="A153" sqref="A153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625" style="509" customWidth="1"/>
    <col min="4" max="4" width="20.125" style="509" customWidth="1"/>
    <col min="5" max="5" width="23.625" style="509" customWidth="1"/>
    <col min="6" max="6" width="19.625" style="509" customWidth="1"/>
    <col min="7" max="16384" width="10.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822</v>
      </c>
      <c r="B2" s="145"/>
      <c r="C2" s="145"/>
      <c r="D2" s="145"/>
      <c r="E2" s="145"/>
      <c r="F2" s="145"/>
    </row>
    <row r="3" spans="1:6" ht="12.75" customHeight="1">
      <c r="A3" s="145" t="s">
        <v>823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385</v>
      </c>
      <c r="B5" s="629" t="str">
        <f>'справка №1-БАЛАНС'!E3</f>
        <v>Химимпорт АД</v>
      </c>
      <c r="C5" s="629"/>
      <c r="D5" s="629"/>
      <c r="E5" s="570" t="s">
        <v>2</v>
      </c>
      <c r="F5" s="451" t="str">
        <f>'справка №1-БАЛАНС'!H3</f>
        <v> </v>
      </c>
    </row>
    <row r="6" spans="1:13" ht="15" customHeight="1">
      <c r="A6" s="27" t="s">
        <v>824</v>
      </c>
      <c r="B6" s="630">
        <f>'справка №1-БАЛАНС'!E5</f>
        <v>39447</v>
      </c>
      <c r="C6" s="630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63.75">
      <c r="A8" s="31" t="s">
        <v>825</v>
      </c>
      <c r="B8" s="32" t="s">
        <v>8</v>
      </c>
      <c r="C8" s="33" t="s">
        <v>826</v>
      </c>
      <c r="D8" s="33" t="s">
        <v>827</v>
      </c>
      <c r="E8" s="33" t="s">
        <v>828</v>
      </c>
      <c r="F8" s="33" t="s">
        <v>829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830</v>
      </c>
      <c r="B10" s="35"/>
      <c r="C10" s="429"/>
      <c r="D10" s="429"/>
      <c r="E10" s="429"/>
      <c r="F10" s="429"/>
    </row>
    <row r="11" spans="1:6" ht="18" customHeight="1">
      <c r="A11" s="36" t="s">
        <v>831</v>
      </c>
      <c r="B11" s="37"/>
      <c r="C11" s="429"/>
      <c r="D11" s="429"/>
      <c r="E11" s="429"/>
      <c r="F11" s="429"/>
    </row>
    <row r="12" spans="1:6" ht="14.25" customHeight="1">
      <c r="A12" s="36" t="s">
        <v>864</v>
      </c>
      <c r="B12" s="37"/>
      <c r="C12" s="441">
        <v>160270</v>
      </c>
      <c r="D12" s="441">
        <v>100</v>
      </c>
      <c r="E12" s="441"/>
      <c r="F12" s="443">
        <f>C12-E12</f>
        <v>160270</v>
      </c>
    </row>
    <row r="13" spans="1:6" ht="12.75">
      <c r="A13" s="36" t="s">
        <v>865</v>
      </c>
      <c r="B13" s="37"/>
      <c r="C13" s="441">
        <v>12744</v>
      </c>
      <c r="D13" s="441">
        <v>52.7</v>
      </c>
      <c r="E13" s="441"/>
      <c r="F13" s="443">
        <f aca="true" t="shared" si="0" ref="F13:F27">C13-E13</f>
        <v>12744</v>
      </c>
    </row>
    <row r="14" spans="1:6" ht="12.75">
      <c r="A14" s="36" t="s">
        <v>885</v>
      </c>
      <c r="B14" s="37"/>
      <c r="C14" s="441">
        <v>23568</v>
      </c>
      <c r="D14" s="441">
        <v>100</v>
      </c>
      <c r="E14" s="441"/>
      <c r="F14" s="443">
        <f t="shared" si="0"/>
        <v>23568</v>
      </c>
    </row>
    <row r="15" spans="1:6" ht="12.75">
      <c r="A15" s="36" t="s">
        <v>887</v>
      </c>
      <c r="B15" s="37"/>
      <c r="C15" s="441">
        <v>96058</v>
      </c>
      <c r="D15" s="441">
        <v>57.78</v>
      </c>
      <c r="E15" s="441"/>
      <c r="F15" s="443">
        <f t="shared" si="0"/>
        <v>96058</v>
      </c>
    </row>
    <row r="16" spans="1:6" ht="12.75">
      <c r="A16" s="36" t="s">
        <v>877</v>
      </c>
      <c r="B16" s="37"/>
      <c r="C16" s="441">
        <v>1011</v>
      </c>
      <c r="D16" s="441">
        <v>93.33</v>
      </c>
      <c r="E16" s="441"/>
      <c r="F16" s="443">
        <f t="shared" si="0"/>
        <v>1011</v>
      </c>
    </row>
    <row r="17" spans="1:6" ht="12.75">
      <c r="A17" s="36" t="s">
        <v>866</v>
      </c>
      <c r="B17" s="37"/>
      <c r="C17" s="441">
        <v>111</v>
      </c>
      <c r="D17" s="441">
        <v>59</v>
      </c>
      <c r="E17" s="441"/>
      <c r="F17" s="443">
        <f t="shared" si="0"/>
        <v>111</v>
      </c>
    </row>
    <row r="18" spans="1:6" ht="12.75">
      <c r="A18" s="36" t="s">
        <v>878</v>
      </c>
      <c r="B18" s="37"/>
      <c r="C18" s="441">
        <v>4</v>
      </c>
      <c r="D18" s="441">
        <v>70</v>
      </c>
      <c r="E18" s="441"/>
      <c r="F18" s="443">
        <f t="shared" si="0"/>
        <v>4</v>
      </c>
    </row>
    <row r="19" spans="1:6" ht="12.75">
      <c r="A19" s="36" t="s">
        <v>879</v>
      </c>
      <c r="B19" s="37"/>
      <c r="C19" s="441">
        <v>5</v>
      </c>
      <c r="D19" s="441">
        <v>100</v>
      </c>
      <c r="E19" s="441"/>
      <c r="F19" s="443">
        <f t="shared" si="0"/>
        <v>5</v>
      </c>
    </row>
    <row r="20" spans="1:6" ht="12.75">
      <c r="A20" s="36" t="s">
        <v>867</v>
      </c>
      <c r="B20" s="37"/>
      <c r="C20" s="441">
        <v>998</v>
      </c>
      <c r="D20" s="441">
        <v>100</v>
      </c>
      <c r="E20" s="441"/>
      <c r="F20" s="443">
        <f t="shared" si="0"/>
        <v>998</v>
      </c>
    </row>
    <row r="21" spans="1:6" ht="12.75">
      <c r="A21" s="36" t="s">
        <v>868</v>
      </c>
      <c r="B21" s="37"/>
      <c r="C21" s="441">
        <v>22474</v>
      </c>
      <c r="D21" s="441">
        <v>65</v>
      </c>
      <c r="E21" s="441"/>
      <c r="F21" s="443">
        <f t="shared" si="0"/>
        <v>22474</v>
      </c>
    </row>
    <row r="22" spans="1:6" ht="12.75">
      <c r="A22" s="36" t="s">
        <v>880</v>
      </c>
      <c r="B22" s="37"/>
      <c r="C22" s="441">
        <v>2000</v>
      </c>
      <c r="D22" s="441">
        <v>100</v>
      </c>
      <c r="E22" s="441"/>
      <c r="F22" s="443">
        <f t="shared" si="0"/>
        <v>2000</v>
      </c>
    </row>
    <row r="23" spans="1:6" ht="12.75">
      <c r="A23" s="36" t="s">
        <v>881</v>
      </c>
      <c r="B23" s="37"/>
      <c r="C23" s="441">
        <v>14880</v>
      </c>
      <c r="D23" s="441">
        <v>99</v>
      </c>
      <c r="E23" s="441"/>
      <c r="F23" s="443">
        <f t="shared" si="0"/>
        <v>14880</v>
      </c>
    </row>
    <row r="24" spans="1:6" ht="12.75">
      <c r="A24" s="36" t="s">
        <v>869</v>
      </c>
      <c r="B24" s="37"/>
      <c r="C24" s="441">
        <v>1664</v>
      </c>
      <c r="D24" s="441">
        <v>83.2</v>
      </c>
      <c r="E24" s="441"/>
      <c r="F24" s="443">
        <f t="shared" si="0"/>
        <v>1664</v>
      </c>
    </row>
    <row r="25" spans="1:6" ht="12" customHeight="1">
      <c r="A25" s="36" t="s">
        <v>874</v>
      </c>
      <c r="B25" s="37"/>
      <c r="C25" s="441">
        <v>2095</v>
      </c>
      <c r="D25" s="441">
        <v>100</v>
      </c>
      <c r="E25" s="441"/>
      <c r="F25" s="443">
        <f t="shared" si="0"/>
        <v>2095</v>
      </c>
    </row>
    <row r="26" spans="1:6" ht="12.75">
      <c r="A26" s="36" t="s">
        <v>888</v>
      </c>
      <c r="B26" s="37"/>
      <c r="C26" s="441">
        <v>5</v>
      </c>
      <c r="D26" s="441">
        <v>100</v>
      </c>
      <c r="E26" s="441"/>
      <c r="F26" s="443">
        <f t="shared" si="0"/>
        <v>5</v>
      </c>
    </row>
    <row r="27" spans="1:6" ht="12.75">
      <c r="A27" s="36"/>
      <c r="B27" s="37"/>
      <c r="C27" s="441"/>
      <c r="D27" s="441"/>
      <c r="E27" s="441"/>
      <c r="F27" s="443">
        <f t="shared" si="0"/>
        <v>0</v>
      </c>
    </row>
    <row r="28" spans="1:16" ht="11.25" customHeight="1">
      <c r="A28" s="38" t="s">
        <v>566</v>
      </c>
      <c r="B28" s="39" t="s">
        <v>833</v>
      </c>
      <c r="C28" s="429">
        <f>SUM(C12:C27)</f>
        <v>337887</v>
      </c>
      <c r="D28" s="429"/>
      <c r="E28" s="429">
        <f>SUM(E12:E26)</f>
        <v>0</v>
      </c>
      <c r="F28" s="442">
        <f>SUM(F12:F27)</f>
        <v>337887</v>
      </c>
      <c r="G28" s="516"/>
      <c r="H28" s="516"/>
      <c r="I28" s="516"/>
      <c r="J28" s="516"/>
      <c r="K28" s="516"/>
      <c r="L28" s="516"/>
      <c r="M28" s="516"/>
      <c r="N28" s="516"/>
      <c r="O28" s="516"/>
      <c r="P28" s="516"/>
    </row>
    <row r="29" spans="1:6" ht="16.5" customHeight="1">
      <c r="A29" s="36" t="s">
        <v>834</v>
      </c>
      <c r="B29" s="40"/>
      <c r="C29" s="429"/>
      <c r="D29" s="429"/>
      <c r="E29" s="429"/>
      <c r="F29" s="442"/>
    </row>
    <row r="30" spans="1:6" ht="12.75">
      <c r="A30" s="36" t="s">
        <v>545</v>
      </c>
      <c r="B30" s="40"/>
      <c r="C30" s="441"/>
      <c r="D30" s="441"/>
      <c r="E30" s="441"/>
      <c r="F30" s="443">
        <f>C30-E30</f>
        <v>0</v>
      </c>
    </row>
    <row r="31" spans="1:6" ht="12.75">
      <c r="A31" s="36" t="s">
        <v>548</v>
      </c>
      <c r="B31" s="40"/>
      <c r="C31" s="441"/>
      <c r="D31" s="441"/>
      <c r="E31" s="441"/>
      <c r="F31" s="443">
        <f aca="true" t="shared" si="1" ref="F31:F44">C31-E31</f>
        <v>0</v>
      </c>
    </row>
    <row r="32" spans="1:6" ht="12.75">
      <c r="A32" s="36" t="s">
        <v>551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 t="s">
        <v>554</v>
      </c>
      <c r="B33" s="40"/>
      <c r="C33" s="441"/>
      <c r="D33" s="441"/>
      <c r="E33" s="441"/>
      <c r="F33" s="443">
        <f t="shared" si="1"/>
        <v>0</v>
      </c>
    </row>
    <row r="34" spans="1:6" ht="12.75">
      <c r="A34" s="36">
        <v>5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6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7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8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9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10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11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12</v>
      </c>
      <c r="B41" s="37"/>
      <c r="C41" s="441"/>
      <c r="D41" s="441"/>
      <c r="E41" s="441"/>
      <c r="F41" s="443">
        <f t="shared" si="1"/>
        <v>0</v>
      </c>
    </row>
    <row r="42" spans="1:6" ht="12.75">
      <c r="A42" s="36">
        <v>13</v>
      </c>
      <c r="B42" s="37"/>
      <c r="C42" s="441"/>
      <c r="D42" s="441"/>
      <c r="E42" s="441"/>
      <c r="F42" s="443">
        <f t="shared" si="1"/>
        <v>0</v>
      </c>
    </row>
    <row r="43" spans="1:6" ht="12" customHeight="1">
      <c r="A43" s="36">
        <v>14</v>
      </c>
      <c r="B43" s="37"/>
      <c r="C43" s="441"/>
      <c r="D43" s="441"/>
      <c r="E43" s="441"/>
      <c r="F43" s="443">
        <f t="shared" si="1"/>
        <v>0</v>
      </c>
    </row>
    <row r="44" spans="1:6" ht="12.75">
      <c r="A44" s="36">
        <v>15</v>
      </c>
      <c r="B44" s="37"/>
      <c r="C44" s="441"/>
      <c r="D44" s="441"/>
      <c r="E44" s="441"/>
      <c r="F44" s="443">
        <f t="shared" si="1"/>
        <v>0</v>
      </c>
    </row>
    <row r="45" spans="1:16" ht="15" customHeight="1">
      <c r="A45" s="38" t="s">
        <v>583</v>
      </c>
      <c r="B45" s="39" t="s">
        <v>835</v>
      </c>
      <c r="C45" s="429">
        <f>SUM(C30:C44)</f>
        <v>0</v>
      </c>
      <c r="D45" s="429"/>
      <c r="E45" s="429">
        <f>SUM(E30:E44)</f>
        <v>0</v>
      </c>
      <c r="F45" s="442">
        <f>SUM(F30:F44)</f>
        <v>0</v>
      </c>
      <c r="G45" s="516"/>
      <c r="H45" s="516"/>
      <c r="I45" s="516"/>
      <c r="J45" s="516"/>
      <c r="K45" s="516"/>
      <c r="L45" s="516"/>
      <c r="M45" s="516"/>
      <c r="N45" s="516"/>
      <c r="O45" s="516"/>
      <c r="P45" s="516"/>
    </row>
    <row r="46" spans="1:6" ht="12.75" customHeight="1">
      <c r="A46" s="36" t="s">
        <v>836</v>
      </c>
      <c r="B46" s="40"/>
      <c r="C46" s="429"/>
      <c r="D46" s="429"/>
      <c r="E46" s="429"/>
      <c r="F46" s="442"/>
    </row>
    <row r="47" spans="1:6" ht="12.75">
      <c r="A47" s="575" t="s">
        <v>883</v>
      </c>
      <c r="B47" s="40"/>
      <c r="C47" s="441">
        <v>15028</v>
      </c>
      <c r="D47" s="441">
        <v>49.28</v>
      </c>
      <c r="E47" s="441"/>
      <c r="F47" s="443">
        <f>C47-E47</f>
        <v>15028</v>
      </c>
    </row>
    <row r="48" spans="1:6" ht="12.75">
      <c r="A48" s="575" t="s">
        <v>882</v>
      </c>
      <c r="B48" s="40"/>
      <c r="C48" s="441">
        <v>1967</v>
      </c>
      <c r="D48" s="441">
        <v>29.39</v>
      </c>
      <c r="E48" s="441"/>
      <c r="F48" s="443">
        <f aca="true" t="shared" si="2" ref="F48:F61">C48-E48</f>
        <v>1967</v>
      </c>
    </row>
    <row r="49" spans="1:6" ht="12.75">
      <c r="A49" s="36" t="s">
        <v>875</v>
      </c>
      <c r="B49" s="40"/>
      <c r="C49" s="441">
        <v>526</v>
      </c>
      <c r="D49" s="441">
        <v>23.08</v>
      </c>
      <c r="E49" s="441"/>
      <c r="F49" s="443">
        <f t="shared" si="2"/>
        <v>526</v>
      </c>
    </row>
    <row r="50" spans="1:6" ht="12.75">
      <c r="A50" s="36" t="s">
        <v>876</v>
      </c>
      <c r="B50" s="37"/>
      <c r="C50" s="441">
        <v>526</v>
      </c>
      <c r="D50" s="441">
        <v>23.08</v>
      </c>
      <c r="E50" s="441"/>
      <c r="F50" s="443">
        <f t="shared" si="2"/>
        <v>526</v>
      </c>
    </row>
    <row r="51" spans="1:6" ht="12.75">
      <c r="A51" s="36" t="s">
        <v>886</v>
      </c>
      <c r="B51" s="37"/>
      <c r="C51" s="441">
        <v>715</v>
      </c>
      <c r="D51" s="441">
        <v>38.07</v>
      </c>
      <c r="E51" s="441"/>
      <c r="F51" s="443">
        <f t="shared" si="2"/>
        <v>715</v>
      </c>
    </row>
    <row r="52" spans="1:6" ht="12.75">
      <c r="A52" s="36">
        <v>6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7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8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9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10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11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12</v>
      </c>
      <c r="B58" s="37"/>
      <c r="C58" s="441"/>
      <c r="D58" s="441"/>
      <c r="E58" s="441"/>
      <c r="F58" s="443">
        <f t="shared" si="2"/>
        <v>0</v>
      </c>
    </row>
    <row r="59" spans="1:6" ht="12.75">
      <c r="A59" s="36">
        <v>13</v>
      </c>
      <c r="B59" s="37"/>
      <c r="C59" s="441"/>
      <c r="D59" s="441"/>
      <c r="E59" s="441"/>
      <c r="F59" s="443">
        <f t="shared" si="2"/>
        <v>0</v>
      </c>
    </row>
    <row r="60" spans="1:6" ht="12" customHeight="1">
      <c r="A60" s="36">
        <v>14</v>
      </c>
      <c r="B60" s="37"/>
      <c r="C60" s="441"/>
      <c r="D60" s="441"/>
      <c r="E60" s="441"/>
      <c r="F60" s="443">
        <f t="shared" si="2"/>
        <v>0</v>
      </c>
    </row>
    <row r="61" spans="1:6" ht="12.75">
      <c r="A61" s="36">
        <v>15</v>
      </c>
      <c r="B61" s="37"/>
      <c r="C61" s="441"/>
      <c r="D61" s="441"/>
      <c r="E61" s="441"/>
      <c r="F61" s="443">
        <f t="shared" si="2"/>
        <v>0</v>
      </c>
    </row>
    <row r="62" spans="1:16" ht="12" customHeight="1">
      <c r="A62" s="38" t="s">
        <v>602</v>
      </c>
      <c r="B62" s="39" t="s">
        <v>837</v>
      </c>
      <c r="C62" s="429">
        <f>SUM(C47:C61)</f>
        <v>18762</v>
      </c>
      <c r="D62" s="429"/>
      <c r="E62" s="429">
        <f>SUM(E47:E61)</f>
        <v>0</v>
      </c>
      <c r="F62" s="442">
        <f>SUM(F47:F61)</f>
        <v>18762</v>
      </c>
      <c r="G62" s="516"/>
      <c r="H62" s="516"/>
      <c r="I62" s="516"/>
      <c r="J62" s="516"/>
      <c r="K62" s="516"/>
      <c r="L62" s="516"/>
      <c r="M62" s="516"/>
      <c r="N62" s="516"/>
      <c r="O62" s="516"/>
      <c r="P62" s="516"/>
    </row>
    <row r="63" spans="1:6" ht="18.75" customHeight="1">
      <c r="A63" s="36" t="s">
        <v>838</v>
      </c>
      <c r="B63" s="40"/>
      <c r="C63" s="429"/>
      <c r="D63" s="429"/>
      <c r="E63" s="429"/>
      <c r="F63" s="442"/>
    </row>
    <row r="64" spans="1:6" ht="12.75">
      <c r="A64" s="36" t="s">
        <v>545</v>
      </c>
      <c r="B64" s="40"/>
      <c r="C64" s="441"/>
      <c r="D64" s="441"/>
      <c r="E64" s="441"/>
      <c r="F64" s="443">
        <f>C64-E64</f>
        <v>0</v>
      </c>
    </row>
    <row r="65" spans="1:6" ht="12.75">
      <c r="A65" s="36" t="s">
        <v>548</v>
      </c>
      <c r="B65" s="40"/>
      <c r="C65" s="441"/>
      <c r="D65" s="441"/>
      <c r="E65" s="441"/>
      <c r="F65" s="443">
        <f aca="true" t="shared" si="3" ref="F65:F78">C65-E65</f>
        <v>0</v>
      </c>
    </row>
    <row r="66" spans="1:6" ht="12.75">
      <c r="A66" s="36" t="s">
        <v>551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 t="s">
        <v>554</v>
      </c>
      <c r="B67" s="40"/>
      <c r="C67" s="441"/>
      <c r="D67" s="441"/>
      <c r="E67" s="441"/>
      <c r="F67" s="443">
        <f t="shared" si="3"/>
        <v>0</v>
      </c>
    </row>
    <row r="68" spans="1:6" ht="12.75">
      <c r="A68" s="36">
        <v>5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6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7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8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9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10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11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12</v>
      </c>
      <c r="B75" s="37"/>
      <c r="C75" s="441"/>
      <c r="D75" s="441"/>
      <c r="E75" s="441"/>
      <c r="F75" s="443">
        <f t="shared" si="3"/>
        <v>0</v>
      </c>
    </row>
    <row r="76" spans="1:6" ht="12.75">
      <c r="A76" s="36">
        <v>13</v>
      </c>
      <c r="B76" s="37"/>
      <c r="C76" s="441"/>
      <c r="D76" s="441"/>
      <c r="E76" s="441"/>
      <c r="F76" s="443">
        <f t="shared" si="3"/>
        <v>0</v>
      </c>
    </row>
    <row r="77" spans="1:6" ht="12" customHeight="1">
      <c r="A77" s="36">
        <v>14</v>
      </c>
      <c r="B77" s="37"/>
      <c r="C77" s="441"/>
      <c r="D77" s="441"/>
      <c r="E77" s="441"/>
      <c r="F77" s="443">
        <f t="shared" si="3"/>
        <v>0</v>
      </c>
    </row>
    <row r="78" spans="1:6" ht="12.75">
      <c r="A78" s="36">
        <v>15</v>
      </c>
      <c r="B78" s="37"/>
      <c r="C78" s="441"/>
      <c r="D78" s="441"/>
      <c r="E78" s="441"/>
      <c r="F78" s="443">
        <f t="shared" si="3"/>
        <v>0</v>
      </c>
    </row>
    <row r="79" spans="1:16" ht="14.25" customHeight="1">
      <c r="A79" s="38" t="s">
        <v>839</v>
      </c>
      <c r="B79" s="39" t="s">
        <v>840</v>
      </c>
      <c r="C79" s="429">
        <f>SUM(C64:C78)</f>
        <v>0</v>
      </c>
      <c r="D79" s="429"/>
      <c r="E79" s="429">
        <f>SUM(E64:E78)</f>
        <v>0</v>
      </c>
      <c r="F79" s="442">
        <f>SUM(F64:F78)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16" ht="20.25" customHeight="1">
      <c r="A80" s="41" t="s">
        <v>841</v>
      </c>
      <c r="B80" s="39" t="s">
        <v>842</v>
      </c>
      <c r="C80" s="429">
        <f>C79+C62+C45+C28</f>
        <v>356649</v>
      </c>
      <c r="D80" s="429"/>
      <c r="E80" s="429">
        <f>E79+E62+E45+E28</f>
        <v>0</v>
      </c>
      <c r="F80" s="442">
        <f>F79+F62+F45+F28</f>
        <v>356649</v>
      </c>
      <c r="G80" s="516"/>
      <c r="H80" s="516"/>
      <c r="I80" s="516"/>
      <c r="J80" s="516"/>
      <c r="K80" s="516"/>
      <c r="L80" s="516"/>
      <c r="M80" s="516"/>
      <c r="N80" s="516"/>
      <c r="O80" s="516"/>
      <c r="P80" s="516"/>
    </row>
    <row r="81" spans="1:6" ht="15" customHeight="1">
      <c r="A81" s="34" t="s">
        <v>843</v>
      </c>
      <c r="B81" s="39"/>
      <c r="C81" s="429"/>
      <c r="D81" s="429"/>
      <c r="E81" s="429"/>
      <c r="F81" s="442"/>
    </row>
    <row r="82" spans="1:6" ht="14.25" customHeight="1">
      <c r="A82" s="36" t="s">
        <v>831</v>
      </c>
      <c r="B82" s="40"/>
      <c r="C82" s="429"/>
      <c r="D82" s="429"/>
      <c r="E82" s="429"/>
      <c r="F82" s="442"/>
    </row>
    <row r="83" spans="1:6" ht="12.75">
      <c r="A83" s="36" t="s">
        <v>884</v>
      </c>
      <c r="B83" s="40"/>
      <c r="C83" s="441">
        <v>2500</v>
      </c>
      <c r="D83" s="441">
        <v>100</v>
      </c>
      <c r="E83" s="441"/>
      <c r="F83" s="443">
        <f>C83-E83</f>
        <v>2500</v>
      </c>
    </row>
    <row r="84" spans="1:6" ht="12.75">
      <c r="A84" s="36" t="s">
        <v>832</v>
      </c>
      <c r="B84" s="40"/>
      <c r="C84" s="441"/>
      <c r="D84" s="441"/>
      <c r="E84" s="441"/>
      <c r="F84" s="443">
        <f aca="true" t="shared" si="4" ref="F84:F97">C84-E84</f>
        <v>0</v>
      </c>
    </row>
    <row r="85" spans="1:6" ht="12.75">
      <c r="A85" s="36" t="s">
        <v>551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 t="s">
        <v>554</v>
      </c>
      <c r="B86" s="40"/>
      <c r="C86" s="441"/>
      <c r="D86" s="441"/>
      <c r="E86" s="441"/>
      <c r="F86" s="443">
        <f t="shared" si="4"/>
        <v>0</v>
      </c>
    </row>
    <row r="87" spans="1:6" ht="12.75">
      <c r="A87" s="36">
        <v>5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6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7</v>
      </c>
      <c r="B89" s="37"/>
      <c r="C89" s="441"/>
      <c r="D89" s="441"/>
      <c r="E89" s="441"/>
      <c r="F89" s="443">
        <f t="shared" si="4"/>
        <v>0</v>
      </c>
    </row>
    <row r="90" spans="1:6" ht="12.75">
      <c r="A90" s="36">
        <v>8</v>
      </c>
      <c r="B90" s="37"/>
      <c r="C90" s="441"/>
      <c r="D90" s="441"/>
      <c r="E90" s="441"/>
      <c r="F90" s="443">
        <f t="shared" si="4"/>
        <v>0</v>
      </c>
    </row>
    <row r="91" spans="1:6" ht="12" customHeight="1">
      <c r="A91" s="36">
        <v>9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10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11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12</v>
      </c>
      <c r="B94" s="37"/>
      <c r="C94" s="441"/>
      <c r="D94" s="441"/>
      <c r="E94" s="441"/>
      <c r="F94" s="443">
        <f t="shared" si="4"/>
        <v>0</v>
      </c>
    </row>
    <row r="95" spans="1:6" ht="12.75">
      <c r="A95" s="36">
        <v>13</v>
      </c>
      <c r="B95" s="37"/>
      <c r="C95" s="441"/>
      <c r="D95" s="441"/>
      <c r="E95" s="441"/>
      <c r="F95" s="443">
        <f t="shared" si="4"/>
        <v>0</v>
      </c>
    </row>
    <row r="96" spans="1:6" ht="12" customHeight="1">
      <c r="A96" s="36">
        <v>14</v>
      </c>
      <c r="B96" s="37"/>
      <c r="C96" s="441"/>
      <c r="D96" s="441"/>
      <c r="E96" s="441"/>
      <c r="F96" s="443">
        <f t="shared" si="4"/>
        <v>0</v>
      </c>
    </row>
    <row r="97" spans="1:6" ht="12.75">
      <c r="A97" s="36">
        <v>15</v>
      </c>
      <c r="B97" s="37"/>
      <c r="C97" s="441"/>
      <c r="D97" s="441"/>
      <c r="E97" s="441"/>
      <c r="F97" s="443">
        <f t="shared" si="4"/>
        <v>0</v>
      </c>
    </row>
    <row r="98" spans="1:16" ht="15" customHeight="1">
      <c r="A98" s="38" t="s">
        <v>566</v>
      </c>
      <c r="B98" s="39" t="s">
        <v>844</v>
      </c>
      <c r="C98" s="429">
        <f>SUM(C83:C97)</f>
        <v>2500</v>
      </c>
      <c r="D98" s="429"/>
      <c r="E98" s="429">
        <f>SUM(E83:E97)</f>
        <v>0</v>
      </c>
      <c r="F98" s="442">
        <f>SUM(F83:F97)</f>
        <v>2500</v>
      </c>
      <c r="G98" s="516"/>
      <c r="H98" s="516"/>
      <c r="I98" s="516"/>
      <c r="J98" s="516"/>
      <c r="K98" s="516"/>
      <c r="L98" s="516"/>
      <c r="M98" s="516"/>
      <c r="N98" s="516"/>
      <c r="O98" s="516"/>
      <c r="P98" s="516"/>
    </row>
    <row r="99" spans="1:6" ht="15.75" customHeight="1">
      <c r="A99" s="36" t="s">
        <v>834</v>
      </c>
      <c r="B99" s="40"/>
      <c r="C99" s="429"/>
      <c r="D99" s="429"/>
      <c r="E99" s="429"/>
      <c r="F99" s="442"/>
    </row>
    <row r="100" spans="1:6" ht="12.75">
      <c r="A100" s="36" t="s">
        <v>545</v>
      </c>
      <c r="B100" s="40"/>
      <c r="C100" s="441"/>
      <c r="D100" s="441"/>
      <c r="E100" s="441"/>
      <c r="F100" s="443">
        <f>C100-E100</f>
        <v>0</v>
      </c>
    </row>
    <row r="101" spans="1:6" ht="12.75">
      <c r="A101" s="36" t="s">
        <v>548</v>
      </c>
      <c r="B101" s="40"/>
      <c r="C101" s="441"/>
      <c r="D101" s="441"/>
      <c r="E101" s="441"/>
      <c r="F101" s="443">
        <f aca="true" t="shared" si="5" ref="F101:F114">C101-E101</f>
        <v>0</v>
      </c>
    </row>
    <row r="102" spans="1:6" ht="12.75">
      <c r="A102" s="36" t="s">
        <v>551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 t="s">
        <v>554</v>
      </c>
      <c r="B103" s="40"/>
      <c r="C103" s="441"/>
      <c r="D103" s="441"/>
      <c r="E103" s="441"/>
      <c r="F103" s="443">
        <f t="shared" si="5"/>
        <v>0</v>
      </c>
    </row>
    <row r="104" spans="1:6" ht="12.75">
      <c r="A104" s="36">
        <v>5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6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7</v>
      </c>
      <c r="B106" s="37"/>
      <c r="C106" s="441"/>
      <c r="D106" s="441"/>
      <c r="E106" s="441"/>
      <c r="F106" s="443">
        <f t="shared" si="5"/>
        <v>0</v>
      </c>
    </row>
    <row r="107" spans="1:6" ht="12.75">
      <c r="A107" s="36">
        <v>8</v>
      </c>
      <c r="B107" s="37"/>
      <c r="C107" s="441"/>
      <c r="D107" s="441"/>
      <c r="E107" s="441"/>
      <c r="F107" s="443">
        <f t="shared" si="5"/>
        <v>0</v>
      </c>
    </row>
    <row r="108" spans="1:6" ht="12" customHeight="1">
      <c r="A108" s="36">
        <v>9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10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11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12</v>
      </c>
      <c r="B111" s="37"/>
      <c r="C111" s="441"/>
      <c r="D111" s="441"/>
      <c r="E111" s="441"/>
      <c r="F111" s="443">
        <f t="shared" si="5"/>
        <v>0</v>
      </c>
    </row>
    <row r="112" spans="1:6" ht="12.75">
      <c r="A112" s="36">
        <v>13</v>
      </c>
      <c r="B112" s="37"/>
      <c r="C112" s="441"/>
      <c r="D112" s="441"/>
      <c r="E112" s="441"/>
      <c r="F112" s="443">
        <f t="shared" si="5"/>
        <v>0</v>
      </c>
    </row>
    <row r="113" spans="1:6" ht="12" customHeight="1">
      <c r="A113" s="36">
        <v>14</v>
      </c>
      <c r="B113" s="37"/>
      <c r="C113" s="441"/>
      <c r="D113" s="441"/>
      <c r="E113" s="441"/>
      <c r="F113" s="443">
        <f t="shared" si="5"/>
        <v>0</v>
      </c>
    </row>
    <row r="114" spans="1:6" ht="12.75">
      <c r="A114" s="36">
        <v>15</v>
      </c>
      <c r="B114" s="37"/>
      <c r="C114" s="441"/>
      <c r="D114" s="441"/>
      <c r="E114" s="441"/>
      <c r="F114" s="443">
        <f t="shared" si="5"/>
        <v>0</v>
      </c>
    </row>
    <row r="115" spans="1:16" ht="11.25" customHeight="1">
      <c r="A115" s="38" t="s">
        <v>583</v>
      </c>
      <c r="B115" s="39" t="s">
        <v>845</v>
      </c>
      <c r="C115" s="429">
        <f>SUM(C100:C114)</f>
        <v>0</v>
      </c>
      <c r="D115" s="429"/>
      <c r="E115" s="429">
        <f>SUM(E100:E114)</f>
        <v>0</v>
      </c>
      <c r="F115" s="442">
        <f>SUM(F100:F114)</f>
        <v>0</v>
      </c>
      <c r="G115" s="516"/>
      <c r="H115" s="516"/>
      <c r="I115" s="516"/>
      <c r="J115" s="516"/>
      <c r="K115" s="516"/>
      <c r="L115" s="516"/>
      <c r="M115" s="516"/>
      <c r="N115" s="516"/>
      <c r="O115" s="516"/>
      <c r="P115" s="516"/>
    </row>
    <row r="116" spans="1:6" ht="15" customHeight="1">
      <c r="A116" s="36" t="s">
        <v>836</v>
      </c>
      <c r="B116" s="40"/>
      <c r="C116" s="429"/>
      <c r="D116" s="429"/>
      <c r="E116" s="429"/>
      <c r="F116" s="442"/>
    </row>
    <row r="117" spans="1:6" ht="12.75">
      <c r="A117" s="36" t="s">
        <v>870</v>
      </c>
      <c r="B117" s="40"/>
      <c r="C117" s="441">
        <v>5</v>
      </c>
      <c r="D117" s="441">
        <v>20</v>
      </c>
      <c r="E117" s="441"/>
      <c r="F117" s="443">
        <f>C117-E117</f>
        <v>5</v>
      </c>
    </row>
    <row r="118" spans="1:6" ht="12.75">
      <c r="A118" s="36" t="s">
        <v>548</v>
      </c>
      <c r="B118" s="40"/>
      <c r="C118" s="441"/>
      <c r="D118" s="441"/>
      <c r="E118" s="441"/>
      <c r="F118" s="443">
        <f aca="true" t="shared" si="6" ref="F118:F131">C118-E118</f>
        <v>0</v>
      </c>
    </row>
    <row r="119" spans="1:6" ht="12.75">
      <c r="A119" s="36" t="s">
        <v>551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 t="s">
        <v>554</v>
      </c>
      <c r="B120" s="40"/>
      <c r="C120" s="441"/>
      <c r="D120" s="441"/>
      <c r="E120" s="441"/>
      <c r="F120" s="443">
        <f t="shared" si="6"/>
        <v>0</v>
      </c>
    </row>
    <row r="121" spans="1:6" ht="12.75">
      <c r="A121" s="36">
        <v>5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6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7</v>
      </c>
      <c r="B123" s="37"/>
      <c r="C123" s="441"/>
      <c r="D123" s="441"/>
      <c r="E123" s="441"/>
      <c r="F123" s="443">
        <f t="shared" si="6"/>
        <v>0</v>
      </c>
    </row>
    <row r="124" spans="1:6" ht="12.75">
      <c r="A124" s="36">
        <v>8</v>
      </c>
      <c r="B124" s="37"/>
      <c r="C124" s="441"/>
      <c r="D124" s="441"/>
      <c r="E124" s="441"/>
      <c r="F124" s="443">
        <f t="shared" si="6"/>
        <v>0</v>
      </c>
    </row>
    <row r="125" spans="1:6" ht="12" customHeight="1">
      <c r="A125" s="36">
        <v>9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10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11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12</v>
      </c>
      <c r="B128" s="37"/>
      <c r="C128" s="441"/>
      <c r="D128" s="441"/>
      <c r="E128" s="441"/>
      <c r="F128" s="443">
        <f t="shared" si="6"/>
        <v>0</v>
      </c>
    </row>
    <row r="129" spans="1:6" ht="12.75">
      <c r="A129" s="36">
        <v>13</v>
      </c>
      <c r="B129" s="37"/>
      <c r="C129" s="441"/>
      <c r="D129" s="441"/>
      <c r="E129" s="441"/>
      <c r="F129" s="443">
        <f t="shared" si="6"/>
        <v>0</v>
      </c>
    </row>
    <row r="130" spans="1:6" ht="12" customHeight="1">
      <c r="A130" s="36">
        <v>14</v>
      </c>
      <c r="B130" s="37"/>
      <c r="C130" s="441"/>
      <c r="D130" s="441"/>
      <c r="E130" s="441"/>
      <c r="F130" s="443">
        <f t="shared" si="6"/>
        <v>0</v>
      </c>
    </row>
    <row r="131" spans="1:6" ht="12.75">
      <c r="A131" s="36">
        <v>15</v>
      </c>
      <c r="B131" s="37"/>
      <c r="C131" s="441"/>
      <c r="D131" s="441"/>
      <c r="E131" s="441"/>
      <c r="F131" s="443">
        <f t="shared" si="6"/>
        <v>0</v>
      </c>
    </row>
    <row r="132" spans="1:16" ht="15.75" customHeight="1">
      <c r="A132" s="38" t="s">
        <v>602</v>
      </c>
      <c r="B132" s="39" t="s">
        <v>846</v>
      </c>
      <c r="C132" s="429">
        <f>SUM(C117:C131)</f>
        <v>5</v>
      </c>
      <c r="D132" s="429"/>
      <c r="E132" s="429">
        <f>SUM(E117:E131)</f>
        <v>0</v>
      </c>
      <c r="F132" s="442">
        <f>SUM(F117:F131)</f>
        <v>5</v>
      </c>
      <c r="G132" s="516"/>
      <c r="H132" s="516"/>
      <c r="I132" s="516"/>
      <c r="J132" s="516"/>
      <c r="K132" s="516"/>
      <c r="L132" s="516"/>
      <c r="M132" s="516"/>
      <c r="N132" s="516"/>
      <c r="O132" s="516"/>
      <c r="P132" s="516"/>
    </row>
    <row r="133" spans="1:6" ht="12.75" customHeight="1">
      <c r="A133" s="36" t="s">
        <v>838</v>
      </c>
      <c r="B133" s="40"/>
      <c r="C133" s="429"/>
      <c r="D133" s="429"/>
      <c r="E133" s="429"/>
      <c r="F133" s="442"/>
    </row>
    <row r="134" spans="1:6" ht="12.75">
      <c r="A134" s="36" t="s">
        <v>545</v>
      </c>
      <c r="B134" s="40"/>
      <c r="C134" s="441"/>
      <c r="D134" s="441"/>
      <c r="E134" s="441"/>
      <c r="F134" s="443">
        <f>C134-E134</f>
        <v>0</v>
      </c>
    </row>
    <row r="135" spans="1:6" ht="12.75">
      <c r="A135" s="36" t="s">
        <v>548</v>
      </c>
      <c r="B135" s="40"/>
      <c r="C135" s="441"/>
      <c r="D135" s="441"/>
      <c r="E135" s="441"/>
      <c r="F135" s="443">
        <f aca="true" t="shared" si="7" ref="F135:F148">C135-E135</f>
        <v>0</v>
      </c>
    </row>
    <row r="136" spans="1:6" ht="12.75">
      <c r="A136" s="36" t="s">
        <v>551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 t="s">
        <v>554</v>
      </c>
      <c r="B137" s="40"/>
      <c r="C137" s="441"/>
      <c r="D137" s="441"/>
      <c r="E137" s="441"/>
      <c r="F137" s="443">
        <f t="shared" si="7"/>
        <v>0</v>
      </c>
    </row>
    <row r="138" spans="1:6" ht="12.75">
      <c r="A138" s="36">
        <v>5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6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7</v>
      </c>
      <c r="B140" s="37"/>
      <c r="C140" s="441"/>
      <c r="D140" s="441"/>
      <c r="E140" s="441"/>
      <c r="F140" s="443">
        <f t="shared" si="7"/>
        <v>0</v>
      </c>
    </row>
    <row r="141" spans="1:6" ht="12.75">
      <c r="A141" s="36">
        <v>8</v>
      </c>
      <c r="B141" s="37"/>
      <c r="C141" s="441"/>
      <c r="D141" s="441"/>
      <c r="E141" s="441"/>
      <c r="F141" s="443">
        <f t="shared" si="7"/>
        <v>0</v>
      </c>
    </row>
    <row r="142" spans="1:6" ht="12" customHeight="1">
      <c r="A142" s="36">
        <v>9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10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11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12</v>
      </c>
      <c r="B145" s="37"/>
      <c r="C145" s="441"/>
      <c r="D145" s="441"/>
      <c r="E145" s="441"/>
      <c r="F145" s="443">
        <f t="shared" si="7"/>
        <v>0</v>
      </c>
    </row>
    <row r="146" spans="1:6" ht="12.75">
      <c r="A146" s="36">
        <v>13</v>
      </c>
      <c r="B146" s="37"/>
      <c r="C146" s="441"/>
      <c r="D146" s="441"/>
      <c r="E146" s="441"/>
      <c r="F146" s="443">
        <f t="shared" si="7"/>
        <v>0</v>
      </c>
    </row>
    <row r="147" spans="1:6" ht="12" customHeight="1">
      <c r="A147" s="36">
        <v>14</v>
      </c>
      <c r="B147" s="37"/>
      <c r="C147" s="441"/>
      <c r="D147" s="441"/>
      <c r="E147" s="441"/>
      <c r="F147" s="443">
        <f t="shared" si="7"/>
        <v>0</v>
      </c>
    </row>
    <row r="148" spans="1:6" ht="12.75">
      <c r="A148" s="36">
        <v>15</v>
      </c>
      <c r="B148" s="37"/>
      <c r="C148" s="441"/>
      <c r="D148" s="441"/>
      <c r="E148" s="441"/>
      <c r="F148" s="443">
        <f t="shared" si="7"/>
        <v>0</v>
      </c>
    </row>
    <row r="149" spans="1:16" ht="17.25" customHeight="1">
      <c r="A149" s="38" t="s">
        <v>839</v>
      </c>
      <c r="B149" s="39" t="s">
        <v>847</v>
      </c>
      <c r="C149" s="429">
        <f>SUM(C134:C148)</f>
        <v>0</v>
      </c>
      <c r="D149" s="429"/>
      <c r="E149" s="429">
        <f>SUM(E134:E148)</f>
        <v>0</v>
      </c>
      <c r="F149" s="442">
        <f>SUM(F134:F148)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16" ht="19.5" customHeight="1">
      <c r="A150" s="41" t="s">
        <v>848</v>
      </c>
      <c r="B150" s="39" t="s">
        <v>849</v>
      </c>
      <c r="C150" s="429">
        <f>C149+C132+C115+C98</f>
        <v>2505</v>
      </c>
      <c r="D150" s="429"/>
      <c r="E150" s="429">
        <f>E149+E132+E115+E98</f>
        <v>0</v>
      </c>
      <c r="F150" s="442">
        <f>F149+F132+F115+F98</f>
        <v>2505</v>
      </c>
      <c r="G150" s="516"/>
      <c r="H150" s="516"/>
      <c r="I150" s="516"/>
      <c r="J150" s="516"/>
      <c r="K150" s="516"/>
      <c r="L150" s="516"/>
      <c r="M150" s="516"/>
      <c r="N150" s="516"/>
      <c r="O150" s="516"/>
      <c r="P150" s="516"/>
    </row>
    <row r="151" spans="1:6" ht="19.5" customHeight="1">
      <c r="A151" s="42"/>
      <c r="B151" s="43"/>
      <c r="C151" s="44"/>
      <c r="D151" s="44"/>
      <c r="E151" s="44"/>
      <c r="F151" s="44"/>
    </row>
    <row r="152" spans="1:6" ht="12.75">
      <c r="A152" s="452" t="s">
        <v>893</v>
      </c>
      <c r="B152" s="453"/>
      <c r="C152" s="631" t="s">
        <v>850</v>
      </c>
      <c r="D152" s="631"/>
      <c r="E152" s="631"/>
      <c r="F152" s="631"/>
    </row>
    <row r="153" spans="1:6" ht="12.75">
      <c r="A153" s="517"/>
      <c r="B153" s="518"/>
      <c r="C153" s="517"/>
      <c r="D153" s="517"/>
      <c r="E153" s="517"/>
      <c r="F153" s="517"/>
    </row>
    <row r="154" spans="1:6" ht="12.75">
      <c r="A154" s="517"/>
      <c r="B154" s="518"/>
      <c r="C154" s="631" t="s">
        <v>857</v>
      </c>
      <c r="D154" s="631"/>
      <c r="E154" s="631"/>
      <c r="F154" s="631"/>
    </row>
    <row r="155" spans="3:5" ht="12.75">
      <c r="C155" s="517"/>
      <c r="E155" s="517"/>
    </row>
  </sheetData>
  <sheetProtection/>
  <mergeCells count="4">
    <mergeCell ref="B5:D5"/>
    <mergeCell ref="B6:C6"/>
    <mergeCell ref="C154:F154"/>
    <mergeCell ref="C152:F15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4:F148 C30:F44 C12:F27 C64:F78 C117:F131 C100:F114 C83:F97 C47:F61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Alexander Kerezov</cp:lastModifiedBy>
  <cp:lastPrinted>2008-03-31T08:51:39Z</cp:lastPrinted>
  <dcterms:created xsi:type="dcterms:W3CDTF">2000-06-29T12:02:40Z</dcterms:created>
  <dcterms:modified xsi:type="dcterms:W3CDTF">2008-03-31T13:03:11Z</dcterms:modified>
  <cp:category/>
  <cp:version/>
  <cp:contentType/>
  <cp:contentStatus/>
</cp:coreProperties>
</file>