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18" activeTab="0"/>
  </bookViews>
  <sheets>
    <sheet name="справка №1-БАЛАНС" sheetId="1" r:id="rId1"/>
    <sheet name="справка №2-ОТЧЕТ ЗА ДОХОДИТ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<sst xmlns="http://schemas.openxmlformats.org/spreadsheetml/2006/main" count="1064" uniqueCount="878">
  <si>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</si>
  <si>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</si>
  <si>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</si>
  <si>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</si>
  <si>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</si>
  <si>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</si>
  <si>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</si>
  <si>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</si>
  <si>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</si>
  <si>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</si>
  <si>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</si>
  <si>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</si>
  <si>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</si>
  <si>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</si>
  <si>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</si>
  <si>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</si>
  <si>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</si>
  <si>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</si>
  <si>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</si>
  <si>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</si>
  <si>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</si>
  <si>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</si>
  <si>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</si>
  <si>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</si>
  <si>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</si>
  <si>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</si>
  <si>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</si>
  <si>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</si>
  <si>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</si>
  <si>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</si>
  <si>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</si>
  <si>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</si>
  <si>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</si>
  <si>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</si>
  <si>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</si>
  <si>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</si>
  <si>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</si>
  <si>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</si>
  <si>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</si>
  <si>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</si>
  <si>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</si>
  <si>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</si>
  <si>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</si>
  <si>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</si>
  <si>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</si>
  <si>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</si>
  <si>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</si>
  <si>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</si>
  <si>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</si>
  <si>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</si>
  <si>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</si>
  <si>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</si>
  <si>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</si>
  <si>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</si>
  <si>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</si>
  <si>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</si>
  <si>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</si>
  <si>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</si>
  <si>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</si>
  <si>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</si>
  <si>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</si>
  <si>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</si>
  <si>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</si>
  <si>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</si>
  <si>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</si>
  <si>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</si>
  <si>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</si>
  <si>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</si>
  <si>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</si>
  <si>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</si>
  <si>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</si>
  <si>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</si>
  <si>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</si>
  <si>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</si>
  <si>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</si>
  <si>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</si>
  <si>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</si>
  <si>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</si>
  <si>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</si>
  <si>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</si>
  <si>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</si>
  <si>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</si>
  <si>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</si>
  <si>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</si>
  <si>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</si>
  <si>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</si>
  <si>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</si>
  <si>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</si>
  <si>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</si>
  <si>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</si>
  <si>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</si>
  <si>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</si>
  <si>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</si>
  <si>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</si>
  <si>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</si>
  <si>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</si>
  <si>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</si>
  <si>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</si>
  <si>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</si>
  <si>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</si>
  <si>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</si>
  <si>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</si>
  <si>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</si>
  <si>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</si>
  <si>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</si>
  <si>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</si>
  <si>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</si>
  <si>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</si>
  <si>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</si>
  <si>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</si>
  <si>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</si>
  <si>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</si>
  <si>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</si>
  <si>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</si>
  <si>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</si>
  <si>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</si>
  <si>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</si>
  <si>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</si>
  <si>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</si>
  <si>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</si>
  <si>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</si>
  <si>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</si>
  <si>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</si>
  <si>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</si>
  <si>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</si>
  <si>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</si>
  <si>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</si>
  <si>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</si>
  <si>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</si>
  <si>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</si>
  <si>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</si>
  <si>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</si>
  <si>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</si>
  <si>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</si>
  <si>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</si>
  <si>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</si>
  <si>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</si>
  <si>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</si>
  <si>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</si>
  <si>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</si>
  <si>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</si>
  <si>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</si>
  <si>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</si>
  <si>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</si>
  <si>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</si>
  <si>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</si>
  <si>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</si>
  <si>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</si>
  <si>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</si>
  <si>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</si>
  <si>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</si>
  <si>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</si>
  <si>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</si>
  <si>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</si>
  <si>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</si>
  <si>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</si>
  <si>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</si>
  <si>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</si>
  <si>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</si>
  <si>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</si>
  <si>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</si>
  <si>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</si>
  <si>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</si>
  <si>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</si>
  <si>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</si>
  <si>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</si>
  <si>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</si>
  <si>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</si>
  <si>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</si>
  <si>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</si>
  <si>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</si>
  <si>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</si>
  <si>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</si>
  <si>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</si>
  <si>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</si>
  <si>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</si>
  <si>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</si>
  <si>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</si>
  <si>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</si>
  <si>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</si>
  <si>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</si>
  <si>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</si>
  <si>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</si>
  <si>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</si>
  <si>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</si>
  <si>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</si>
  <si>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</si>
  <si>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</si>
  <si>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</si>
  <si>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</si>
  <si>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</si>
  <si>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</si>
  <si>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</si>
  <si>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</si>
  <si>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</si>
  <si>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</si>
  <si>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</si>
  <si>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</si>
  <si>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</si>
  <si>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</si>
  <si>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</si>
  <si>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</si>
  <si>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</si>
  <si>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</si>
  <si>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</si>
  <si>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</si>
  <si>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</si>
  <si>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</si>
  <si>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</si>
  <si>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</si>
  <si>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</si>
  <si>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</si>
  <si>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</si>
  <si>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</si>
  <si>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</si>
  <si>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</si>
  <si>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</si>
  <si>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</si>
  <si>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</si>
  <si>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</si>
  <si>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</si>
  <si>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</si>
  <si>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</si>
  <si>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</si>
  <si>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</si>
  <si>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</si>
  <si>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</si>
  <si>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</si>
  <si>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</si>
  <si>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</si>
  <si>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</si>
  <si>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</si>
  <si>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</si>
  <si>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</si>
  <si>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</si>
  <si>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</si>
  <si>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</si>
  <si>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</si>
  <si>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</si>
  <si>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</si>
  <si>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</si>
  <si>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</si>
  <si>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</si>
  <si>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</si>
  <si>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</si>
  <si>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</si>
  <si>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</si>
  <si>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</si>
  <si>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</si>
  <si>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</si>
  <si>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</si>
  <si>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</si>
  <si>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</si>
  <si>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</si>
  <si>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</si>
  <si>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</si>
  <si>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</si>
  <si>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</si>
  <si>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</si>
  <si>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</si>
  <si>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</si>
  <si>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</si>
  <si>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</si>
  <si>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</si>
  <si>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</si>
  <si>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</si>
  <si>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</si>
  <si>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</si>
  <si>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</si>
  <si>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</si>
  <si>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</si>
  <si>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</si>
  <si>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</si>
  <si>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</si>
  <si>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</si>
  <si>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</si>
  <si>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</si>
  <si>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</si>
  <si>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</si>
  <si>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</si>
  <si>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</si>
  <si>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</si>
  <si>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</si>
  <si>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</si>
  <si>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</si>
  <si>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</si>
  <si>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</si>
  <si>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</si>
  <si>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</si>
  <si>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</si>
  <si>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</si>
  <si>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</si>
  <si>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</si>
  <si>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</si>
  <si>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</si>
  <si>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</si>
  <si>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</si>
  <si>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</si>
  <si>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</si>
  <si>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</si>
  <si>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</si>
  <si>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</si>
  <si>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</si>
  <si>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</si>
  <si>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</si>
  <si>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</si>
  <si>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</si>
  <si>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</si>
  <si>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</si>
  <si>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</si>
  <si>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</si>
  <si>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</si>
  <si>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</si>
  <si>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</si>
  <si>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</si>
  <si>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</si>
  <si>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</si>
  <si>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</si>
  <si>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</si>
  <si>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</si>
  <si>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</si>
  <si>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</si>
  <si>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</si>
  <si>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</si>
  <si>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</si>
  <si>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</si>
  <si>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</si>
  <si>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</si>
  <si>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</si>
  <si>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</si>
  <si>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</si>
  <si>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</si>
  <si>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</si>
  <si>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</si>
  <si>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</si>
  <si>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</si>
  <si>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</si>
  <si>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</si>
  <si>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</si>
  <si>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</si>
  <si>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</si>
  <si>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</si>
  <si>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</si>
  <si>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</si>
  <si>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</si>
  <si>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</si>
  <si>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</si>
  <si>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</si>
  <si>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</si>
  <si>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</si>
  <si>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</si>
  <si>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</si>
  <si>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</si>
  <si>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</si>
  <si>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</si>
  <si>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</si>
  <si>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</si>
  <si>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</si>
  <si>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</si>
  <si>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</si>
  <si>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</si>
  <si>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</si>
  <si>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</si>
  <si>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</si>
  <si>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</si>
  <si>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</si>
  <si>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</si>
  <si>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</si>
  <si>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</si>
  <si>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</si>
  <si>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</si>
  <si>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</si>
  <si>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</si>
  <si>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</si>
  <si>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</si>
  <si>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</si>
  <si>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</si>
  <si>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</si>
  <si>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</si>
  <si>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</si>
  <si>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</si>
  <si>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</si>
  <si>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</si>
  <si>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</si>
  <si>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</si>
  <si>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</si>
  <si>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</si>
  <si>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</si>
  <si>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</si>
  <si>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</si>
  <si>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</si>
  <si>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</si>
  <si>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</si>
  <si>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</si>
  <si>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</si>
  <si>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</si>
  <si>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</si>
  <si>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</si>
  <si>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</si>
  <si>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</si>
  <si>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</si>
  <si>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</si>
  <si>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</si>
  <si>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</si>
  <si>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</si>
  <si>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</si>
  <si>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</si>
  <si>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</si>
  <si>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</si>
  <si>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</si>
  <si>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</si>
  <si>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</si>
  <si>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</si>
  <si>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</si>
  <si>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</si>
  <si>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</si>
  <si>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</si>
  <si>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</si>
  <si>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</si>
  <si>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</si>
  <si>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</si>
  <si>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</si>
  <si>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</si>
  <si>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</si>
  <si>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</si>
  <si>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</si>
  <si>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</si>
  <si>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</si>
  <si>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</si>
  <si>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</si>
  <si>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</si>
  <si>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</si>
  <si>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</si>
  <si>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</si>
  <si>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</si>
  <si>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</si>
  <si>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</si>
  <si>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</si>
  <si>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</si>
  <si>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</si>
  <si>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</si>
  <si>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</si>
  <si>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</si>
  <si>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</si>
  <si>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</si>
  <si>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</si>
  <si>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</si>
  <si>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</si>
  <si>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</si>
  <si>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</si>
  <si>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</si>
  <si>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</si>
  <si>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</si>
  <si>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</si>
  <si>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</si>
  <si>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</si>
  <si>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</si>
  <si>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</si>
  <si>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</si>
  <si>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</si>
  <si>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</si>
  <si>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</si>
  <si>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</si>
  <si>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</si>
  <si>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</si>
  <si>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</si>
  <si>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</si>
  <si>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</si>
  <si>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</si>
  <si>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</si>
  <si>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</si>
  <si>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</si>
  <si>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</si>
  <si>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</si>
  <si>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</si>
  <si>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</si>
  <si>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</si>
  <si>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</si>
  <si>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</si>
  <si>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</si>
  <si>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</si>
  <si>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</si>
  <si>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</si>
  <si>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</si>
  <si>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</si>
  <si>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</si>
  <si>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</si>
  <si>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</si>
  <si>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</si>
  <si>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</si>
  <si>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</si>
  <si>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</si>
  <si>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</si>
  <si>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</si>
  <si>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</si>
  <si>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</si>
  <si>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</si>
  <si>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</si>
  <si>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</si>
  <si>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</si>
  <si>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</si>
  <si>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</si>
  <si>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</si>
  <si>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</si>
  <si>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</si>
  <si>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</si>
  <si>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</si>
  <si>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</si>
  <si>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</si>
  <si>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</si>
  <si>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</si>
  <si>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</si>
  <si>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</si>
  <si>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</si>
  <si>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</si>
  <si>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</si>
  <si>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</si>
  <si>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</si>
  <si>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</si>
  <si>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</si>
  <si>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</si>
  <si>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</si>
  <si>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</si>
  <si>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</si>
  <si>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</si>
  <si>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</si>
  <si>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</si>
  <si>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</si>
  <si>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</si>
  <si>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</si>
  <si>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</si>
  <si>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</si>
  <si>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</si>
  <si>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</si>
  <si>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</si>
  <si>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</si>
  <si>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</si>
  <si>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</si>
  <si>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</si>
  <si>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</si>
  <si>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</si>
  <si>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</si>
  <si>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</si>
  <si>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</si>
  <si>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</si>
  <si>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</si>
  <si>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</si>
  <si>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</si>
  <si>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</si>
  <si>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</si>
  <si>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</si>
  <si>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</si>
  <si>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</si>
  <si>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</si>
  <si>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</si>
  <si>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</si>
  <si>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</si>
  <si>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</si>
  <si>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</si>
  <si>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</si>
  <si>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</si>
  <si>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</si>
  <si>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</si>
  <si>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</si>
  <si>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</si>
  <si>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</si>
  <si>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</si>
  <si>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</si>
  <si>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</si>
  <si>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</si>
  <si>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</si>
  <si>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</si>
  <si>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</si>
  <si>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</si>
  <si>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</si>
  <si>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</si>
  <si>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</si>
  <si>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</si>
  <si>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</si>
  <si>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</si>
  <si>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</si>
  <si>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</si>
  <si>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</si>
  <si>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</si>
  <si>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</si>
  <si>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</si>
  <si>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</si>
  <si>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</si>
  <si>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</si>
  <si>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</si>
  <si>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</si>
  <si>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</si>
  <si>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</si>
  <si>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</si>
  <si>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</si>
  <si>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</si>
  <si>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</si>
  <si>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</si>
  <si>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</si>
  <si>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</si>
  <si>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</si>
  <si>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</si>
  <si>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</si>
  <si>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</si>
  <si>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</si>
  <si>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</si>
  <si>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</si>
  <si>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</si>
  <si>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</si>
  <si>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</si>
  <si>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</si>
  <si>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</si>
  <si>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</si>
  <si>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</si>
  <si>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</si>
  <si>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</si>
  <si>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</si>
  <si>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</si>
  <si>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</si>
  <si>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</si>
  <si>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</si>
  <si>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</si>
  <si>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</si>
  <si>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</si>
  <si>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</si>
  <si>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</si>
  <si>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</si>
  <si>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</si>
  <si>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</si>
  <si>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</si>
  <si>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</si>
  <si>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</si>
  <si>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</si>
  <si>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</si>
  <si>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</si>
  <si>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</si>
  <si>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</si>
  <si>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</si>
  <si>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</si>
  <si>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</si>
  <si>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</si>
  <si>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</si>
  <si>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</si>
  <si>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</si>
  <si>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</si>
  <si>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</si>
  <si>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</si>
  <si>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</si>
  <si>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</si>
  <si>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</si>
  <si>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</si>
  <si>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</si>
  <si>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</si>
  <si>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</si>
  <si>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</si>
  <si>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</si>
  <si>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</si>
  <si>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</si>
  <si>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</si>
  <si>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</si>
  <si>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</si>
  <si>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</si>
  <si>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</si>
  <si>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</si>
  <si>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</si>
  <si>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</si>
  <si>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</si>
  <si>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</si>
  <si>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</si>
  <si>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</si>
  <si>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</si>
  <si>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</si>
  <si>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</si>
  <si>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</si>
  <si>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</si>
  <si>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</si>
  <si>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</si>
  <si>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</si>
  <si>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</si>
  <si>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</si>
  <si>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</si>
  <si>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</si>
  <si>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</si>
  <si>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</si>
  <si>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</si>
  <si>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</si>
  <si>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</si>
  <si>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</si>
  <si>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</si>
  <si>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</si>
  <si>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</si>
  <si>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</si>
  <si>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</si>
  <si>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</si>
  <si>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</si>
  <si>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</si>
  <si>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</si>
  <si>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</si>
  <si>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</si>
  <si>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</si>
  <si>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</si>
  <si>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</si>
  <si>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</si>
  <si>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</si>
  <si>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</si>
  <si>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</si>
  <si>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</si>
  <si>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</si>
  <si>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</si>
  <si>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</si>
  <si>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</si>
  <si>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</si>
  <si>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</si>
  <si>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</si>
  <si>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</si>
  <si>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</si>
  <si>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</si>
  <si>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</si>
  <si>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</si>
  <si>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</si>
  <si>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</si>
  <si>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</si>
  <si>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</si>
  <si>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</si>
  <si>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</si>
  <si>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</si>
  <si>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</si>
  <si>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</si>
  <si>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</si>
  <si>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</si>
  <si>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</si>
  <si>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</si>
  <si>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</si>
  <si>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</si>
  <si>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</si>
  <si>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</si>
  <si>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</si>
  <si>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</si>
  <si>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</si>
  <si>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</si>
  <si>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</si>
  <si>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</si>
  <si>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</si>
  <si>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</si>
  <si>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</si>
  <si>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</si>
  <si>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</si>
  <si>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</si>
  <si>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</si>
  <si>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</si>
  <si>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</si>
  <si>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</si>
  <si>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</si>
  <si>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</si>
  <si>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</si>
  <si>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</si>
  <si>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</si>
  <si>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</si>
  <si>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</si>
  <si>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</si>
  <si>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</si>
  <si>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</si>
  <si>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</si>
  <si>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</si>
  <si>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</si>
  <si>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</si>
  <si>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</si>
  <si>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</si>
  <si>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</si>
  <si>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</si>
  <si>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</si>
  <si>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</si>
  <si>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</si>
  <si>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</si>
  <si>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</si>
  <si>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</si>
  <si>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</si>
  <si>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</si>
  <si>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</si>
  <si>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</si>
  <si>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</si>
  <si>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</si>
  <si>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</si>
  <si>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</si>
  <si>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</si>
  <si>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</si>
  <si>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</si>
  <si>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</si>
  <si>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</si>
  <si>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</si>
  <si>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</si>
  <si>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</si>
  <si>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</si>
  <si>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</si>
  <si>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</si>
  <si>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</si>
  <si>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</si>
  <si>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</si>
  <si>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</si>
  <si>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</si>
  <si>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</si>
  <si>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</si>
  <si>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</si>
  <si>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</si>
  <si>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</si>
  <si>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</si>
  <si>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</si>
  <si>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</si>
  <si>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</si>
  <si>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</si>
  <si>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</si>
  <si>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</si>
  <si>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</si>
  <si>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</si>
  <si>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</si>
  <si>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</si>
  <si>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</si>
  <si>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</si>
  <si>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</si>
  <si>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</si>
  <si>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</si>
  <si>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</si>
  <si>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</si>
  <si>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</si>
  <si>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</si>
  <si>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</si>
  <si>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</si>
  <si>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</si>
  <si>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</si>
  <si>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</si>
  <si>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</si>
  <si>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</si>
  <si>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</si>
  <si>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</si>
  <si>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</si>
  <si>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</si>
  <si>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</si>
  <si>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</si>
  <si>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</si>
  <si>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</si>
  <si>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</si>
  <si>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</si>
  <si>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</si>
  <si>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</si>
  <si>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</si>
  <si>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</si>
  <si>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</si>
  <si>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</si>
  <si>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</si>
  <si>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</si>
  <si>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</si>
  <si>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</si>
  <si>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</si>
  <si>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</si>
  <si>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</si>
  <si>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</si>
  <si>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</si>
  <si>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</si>
  <si>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</si>
  <si>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</si>
  <si>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</si>
  <si>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</si>
  <si>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</si>
  <si>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</si>
  <si>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</si>
  <si>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</si>
  <si>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1.ПОАД Съгласие</t>
  </si>
  <si>
    <t>себестойностен</t>
  </si>
  <si>
    <t>консолидиран</t>
  </si>
  <si>
    <t>3.Кепитал Мениджмънт АДСИЦ</t>
  </si>
  <si>
    <t>4.Каварна Газ ООД</t>
  </si>
  <si>
    <t>5 АП Електротерм</t>
  </si>
  <si>
    <t>6 Луфтханза Техникс</t>
  </si>
  <si>
    <t>Дата на съставяне: 29.05.2008</t>
  </si>
  <si>
    <t>Дата на съставяне: 29,05,2008</t>
  </si>
  <si>
    <t>8 Холдинг Нов Век АД</t>
  </si>
  <si>
    <t>7 Холдинг Варна А АД</t>
  </si>
  <si>
    <t>2.Фрапорт Туин Стар Еърпорт Мениджмънт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</si>
</sst>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Okonchatelni2007l\fs2007-_G&amp;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anio\Local%20Settings\Temporary%20Internet%20Files\Content.IE5\IDQZKBS1\bse-Chim.12.07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anio\Local%20Settings\Temporary%20Internet%20Files\Content.IE5\IDQZKBS1\BALANCE_all_posl3103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mezhdinni-mart07\bse-Chim.03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ies"/>
      <sheetName val="oborot"/>
      <sheetName val="balance"/>
      <sheetName val="CP&amp;L (3)"/>
      <sheetName val="CFS (2)"/>
      <sheetName val="ConsCFS"/>
      <sheetName val="CFS"/>
      <sheetName val="SChC"/>
      <sheetName val="PPE"/>
      <sheetName val="IntA"/>
      <sheetName val="InvP"/>
      <sheetName val="LRFA"/>
      <sheetName val="SRFA (2)"/>
      <sheetName val="SpRes"/>
      <sheetName val="DefTax"/>
      <sheetName val="Lease"/>
      <sheetName val="NEW"/>
      <sheetName val="Assoc"/>
      <sheetName val="NotesP&amp;L"/>
      <sheetName val="Notes"/>
      <sheetName val="OthRec&amp;Pay"/>
      <sheetName val="ShCap"/>
      <sheetName val="PaySt"/>
      <sheetName val="L&amp;STFL"/>
      <sheetName val="related"/>
      <sheetName val="relatedR&amp;P "/>
      <sheetName val="Ris"/>
      <sheetName val="INtREC&amp;PAY"/>
      <sheetName val="ОПРлева"/>
      <sheetName val="401100"/>
      <sheetName val="402000"/>
      <sheetName val="411"/>
      <sheetName val="InterestPayables"/>
      <sheetName val="InterestReceivables"/>
      <sheetName val="GT_Custom"/>
    </sheetNames>
    <sheetDataSet>
      <sheetData sheetId="11">
        <row r="30">
          <cell r="C30">
            <v>20302</v>
          </cell>
        </row>
        <row r="31">
          <cell r="C31">
            <v>5912</v>
          </cell>
        </row>
        <row r="44">
          <cell r="C44">
            <v>12223</v>
          </cell>
        </row>
        <row r="45">
          <cell r="C45">
            <v>23982</v>
          </cell>
        </row>
      </sheetData>
      <sheetData sheetId="12">
        <row r="27">
          <cell r="D27">
            <v>9464</v>
          </cell>
        </row>
        <row r="47">
          <cell r="D47">
            <v>11742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"Химимпорт" АД</v>
          </cell>
          <cell r="H3">
            <v>627519</v>
          </cell>
        </row>
        <row r="4">
          <cell r="E4" t="str">
            <v>консолидиран</v>
          </cell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овестяване"/>
      <sheetName val="PPE"/>
      <sheetName val="B12Cash"/>
      <sheetName val="CFS (2)"/>
      <sheetName val="balance_word"/>
      <sheetName val="Balance"/>
      <sheetName val="opr_word"/>
      <sheetName val="OPR "/>
      <sheetName val="segments"/>
      <sheetName val="B1PPE"/>
      <sheetName val="SChC"/>
      <sheetName val="B2IntA"/>
      <sheetName val="B3InvP"/>
      <sheetName val="B11ORec"/>
      <sheetName val="B8SRFA"/>
      <sheetName val="B17LTFL"/>
      <sheetName val="B18STFL"/>
      <sheetName val="B20T&amp;OPay"/>
    </sheetNames>
    <sheetDataSet>
      <sheetData sheetId="4">
        <row r="16">
          <cell r="E16">
            <v>9997</v>
          </cell>
        </row>
        <row r="50">
          <cell r="E50">
            <v>176539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40">
          <cell r="C40">
            <v>2671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view="pageBreakPreview" zoomScaleSheetLayoutView="100" workbookViewId="0" topLeftCell="D1">
      <selection activeCell="G43" sqref="G43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0" t="s">
        <v>865</v>
      </c>
      <c r="F3" s="217" t="s">
        <v>2</v>
      </c>
      <c r="G3" s="172"/>
      <c r="H3" s="172">
        <v>627519</v>
      </c>
    </row>
    <row r="4" spans="1:8" ht="15">
      <c r="A4" s="581" t="s">
        <v>3</v>
      </c>
      <c r="B4" s="587"/>
      <c r="C4" s="587"/>
      <c r="D4" s="587"/>
      <c r="E4" s="502" t="s">
        <v>868</v>
      </c>
      <c r="F4" s="583" t="s">
        <v>4</v>
      </c>
      <c r="G4" s="584"/>
      <c r="H4" s="459" t="s">
        <v>159</v>
      </c>
    </row>
    <row r="5" spans="1:8" ht="15">
      <c r="A5" s="581" t="s">
        <v>5</v>
      </c>
      <c r="B5" s="582"/>
      <c r="C5" s="582"/>
      <c r="D5" s="582"/>
      <c r="E5" s="503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96715</v>
      </c>
      <c r="D11" s="151">
        <v>87638</v>
      </c>
      <c r="E11" s="237" t="s">
        <v>22</v>
      </c>
      <c r="F11" s="242" t="s">
        <v>23</v>
      </c>
      <c r="G11" s="152">
        <v>150000</v>
      </c>
      <c r="H11" s="152">
        <v>150000</v>
      </c>
    </row>
    <row r="12" spans="1:8" ht="15">
      <c r="A12" s="235" t="s">
        <v>24</v>
      </c>
      <c r="B12" s="241" t="s">
        <v>25</v>
      </c>
      <c r="C12" s="151">
        <v>109411</v>
      </c>
      <c r="D12" s="151">
        <v>107726</v>
      </c>
      <c r="E12" s="237" t="s">
        <v>26</v>
      </c>
      <c r="F12" s="242" t="s">
        <v>27</v>
      </c>
      <c r="G12" s="153">
        <f>G11</f>
        <v>150000</v>
      </c>
      <c r="H12" s="153">
        <v>150000</v>
      </c>
    </row>
    <row r="13" spans="1:8" ht="15">
      <c r="A13" s="235" t="s">
        <v>28</v>
      </c>
      <c r="B13" s="241" t="s">
        <v>29</v>
      </c>
      <c r="C13" s="151">
        <v>34142</v>
      </c>
      <c r="D13" s="151">
        <v>42961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70153</v>
      </c>
      <c r="D14" s="151">
        <v>65877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75116</v>
      </c>
      <c r="D15" s="151">
        <v>57583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70437</v>
      </c>
      <c r="D17" s="151">
        <v>67695</v>
      </c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150000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6107</v>
      </c>
      <c r="D18" s="151">
        <v>4805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462081</v>
      </c>
      <c r="D19" s="155">
        <f>SUM(D11:D18)</f>
        <v>434285</v>
      </c>
      <c r="E19" s="237" t="s">
        <v>53</v>
      </c>
      <c r="F19" s="242" t="s">
        <v>54</v>
      </c>
      <c r="G19" s="152">
        <v>232343</v>
      </c>
      <c r="H19" s="152">
        <v>232343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18050</v>
      </c>
      <c r="D20" s="151">
        <v>18136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2962</v>
      </c>
      <c r="H21" s="156">
        <f>SUM(H22:H24)</f>
        <v>3678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2403</v>
      </c>
      <c r="H22" s="152">
        <v>2403</v>
      </c>
    </row>
    <row r="23" spans="1:13" ht="15">
      <c r="A23" s="235" t="s">
        <v>66</v>
      </c>
      <c r="B23" s="241" t="s">
        <v>67</v>
      </c>
      <c r="C23" s="151">
        <v>28096</v>
      </c>
      <c r="D23" s="151">
        <v>28901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255</v>
      </c>
      <c r="D24" s="151">
        <v>312</v>
      </c>
      <c r="E24" s="237" t="s">
        <v>72</v>
      </c>
      <c r="F24" s="242" t="s">
        <v>73</v>
      </c>
      <c r="G24" s="152">
        <v>559</v>
      </c>
      <c r="H24" s="152">
        <v>1275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235305</v>
      </c>
      <c r="H25" s="154">
        <f>H19+H20+H21</f>
        <v>236021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22777</v>
      </c>
      <c r="D26" s="151">
        <v>20856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51128</v>
      </c>
      <c r="D27" s="155">
        <f>SUM(D23:D26)</f>
        <v>50069</v>
      </c>
      <c r="E27" s="253" t="s">
        <v>83</v>
      </c>
      <c r="F27" s="242" t="s">
        <v>84</v>
      </c>
      <c r="G27" s="154">
        <f>SUM(G28:G30)</f>
        <v>243708</v>
      </c>
      <c r="H27" s="154">
        <f>SUM(H28:H30)</f>
        <v>124587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243708</v>
      </c>
      <c r="H28" s="152">
        <v>124587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10822</v>
      </c>
      <c r="D30" s="151">
        <v>10822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32213.85714800001</v>
      </c>
      <c r="H31" s="152">
        <v>119110</v>
      </c>
      <c r="M31" s="157"/>
    </row>
    <row r="32" spans="1:15" ht="15">
      <c r="A32" s="235" t="s">
        <v>98</v>
      </c>
      <c r="B32" s="250" t="s">
        <v>99</v>
      </c>
      <c r="C32" s="155">
        <f>C30+C31</f>
        <v>10822</v>
      </c>
      <c r="D32" s="155">
        <f>D30+D31</f>
        <v>10822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275921.85714800004</v>
      </c>
      <c r="H33" s="154">
        <f>H27+H31+H32</f>
        <v>243697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111371</v>
      </c>
      <c r="D34" s="155">
        <f>SUM(D35:D38)</f>
        <v>26272.445600000003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661226.857148</v>
      </c>
      <c r="H36" s="154">
        <f>H25+H17+H33</f>
        <v>629718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111371</v>
      </c>
      <c r="D37" s="151">
        <v>26272.445600000003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80670</v>
      </c>
      <c r="D39" s="159">
        <f>D40+D41+D43</f>
        <v>83790</v>
      </c>
      <c r="E39" s="445" t="s">
        <v>118</v>
      </c>
      <c r="F39" s="261" t="s">
        <v>119</v>
      </c>
      <c r="G39" s="158">
        <f>'[3]balance_word'!$E$50</f>
        <v>176539</v>
      </c>
      <c r="H39" s="158">
        <v>179877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80670</v>
      </c>
      <c r="D41" s="151">
        <v>83790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152615</v>
      </c>
      <c r="H43" s="152">
        <v>146709</v>
      </c>
      <c r="M43" s="157"/>
    </row>
    <row r="44" spans="1:8" ht="15">
      <c r="A44" s="235" t="s">
        <v>132</v>
      </c>
      <c r="B44" s="264" t="s">
        <v>133</v>
      </c>
      <c r="C44" s="151">
        <v>677871</v>
      </c>
      <c r="D44" s="151">
        <v>590797</v>
      </c>
      <c r="E44" s="268" t="s">
        <v>134</v>
      </c>
      <c r="F44" s="242" t="s">
        <v>135</v>
      </c>
      <c r="G44" s="152">
        <v>87588</v>
      </c>
      <c r="H44" s="152">
        <v>40989</v>
      </c>
    </row>
    <row r="45" spans="1:15" ht="15">
      <c r="A45" s="235" t="s">
        <v>136</v>
      </c>
      <c r="B45" s="249" t="s">
        <v>137</v>
      </c>
      <c r="C45" s="155">
        <f>C34+C39+C44</f>
        <v>869912</v>
      </c>
      <c r="D45" s="155">
        <f>D34+D39+D44</f>
        <v>700859.4456</v>
      </c>
      <c r="E45" s="251" t="s">
        <v>138</v>
      </c>
      <c r="F45" s="242" t="s">
        <v>139</v>
      </c>
      <c r="G45" s="152"/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194</v>
      </c>
      <c r="H46" s="152">
        <v>15689</v>
      </c>
    </row>
    <row r="47" spans="1:13" ht="15">
      <c r="A47" s="235" t="s">
        <v>143</v>
      </c>
      <c r="B47" s="241" t="s">
        <v>144</v>
      </c>
      <c r="C47" s="151">
        <f>'[3]balance_word'!$E$16</f>
        <v>9997</v>
      </c>
      <c r="D47" s="151">
        <v>1000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869558</v>
      </c>
      <c r="H48" s="152">
        <v>1003674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1109955</v>
      </c>
      <c r="H49" s="154">
        <f>SUM(H43:H48)</f>
        <v>1207061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9997</v>
      </c>
      <c r="D51" s="155">
        <f>SUM(D47:D50)</f>
        <v>1000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11442</v>
      </c>
      <c r="H53" s="152">
        <v>11274</v>
      </c>
    </row>
    <row r="54" spans="1:8" ht="27">
      <c r="A54" s="235" t="s">
        <v>166</v>
      </c>
      <c r="B54" s="249" t="s">
        <v>167</v>
      </c>
      <c r="C54" s="151">
        <v>2119</v>
      </c>
      <c r="D54" s="151">
        <v>1930</v>
      </c>
      <c r="E54" s="237" t="s">
        <v>168</v>
      </c>
      <c r="F54" s="245" t="s">
        <v>169</v>
      </c>
      <c r="G54" s="152">
        <v>3489</v>
      </c>
      <c r="H54" s="152">
        <v>3951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1424109</v>
      </c>
      <c r="D55" s="155">
        <f>D19+D20+D21+D27+D32+D45+D51+D53+D54</f>
        <v>1217101.4456</v>
      </c>
      <c r="E55" s="237" t="s">
        <v>172</v>
      </c>
      <c r="F55" s="261" t="s">
        <v>173</v>
      </c>
      <c r="G55" s="154">
        <f>G49+G51+G52+G53+G54</f>
        <v>1124886</v>
      </c>
      <c r="H55" s="154">
        <f>H49+H51+H52+H53+H54</f>
        <v>1222286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15452</v>
      </c>
      <c r="D58" s="151">
        <v>19428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3317</v>
      </c>
      <c r="D59" s="151">
        <v>2101</v>
      </c>
      <c r="E59" s="251" t="s">
        <v>181</v>
      </c>
      <c r="F59" s="242" t="s">
        <v>182</v>
      </c>
      <c r="G59" s="152">
        <v>93167</v>
      </c>
      <c r="H59" s="152">
        <v>71761</v>
      </c>
      <c r="M59" s="157"/>
    </row>
    <row r="60" spans="1:8" ht="15">
      <c r="A60" s="235" t="s">
        <v>183</v>
      </c>
      <c r="B60" s="241" t="s">
        <v>184</v>
      </c>
      <c r="C60" s="151">
        <v>43231</v>
      </c>
      <c r="D60" s="151">
        <v>44476</v>
      </c>
      <c r="E60" s="237" t="s">
        <v>185</v>
      </c>
      <c r="F60" s="242" t="s">
        <v>186</v>
      </c>
      <c r="G60" s="152">
        <v>5836</v>
      </c>
      <c r="H60" s="152">
        <v>4548</v>
      </c>
    </row>
    <row r="61" spans="1:18" ht="15">
      <c r="A61" s="235" t="s">
        <v>187</v>
      </c>
      <c r="B61" s="244" t="s">
        <v>188</v>
      </c>
      <c r="C61" s="151">
        <v>3911</v>
      </c>
      <c r="D61" s="151">
        <v>5789</v>
      </c>
      <c r="E61" s="243" t="s">
        <v>189</v>
      </c>
      <c r="F61" s="272" t="s">
        <v>190</v>
      </c>
      <c r="G61" s="154">
        <f>SUM(G62:G68)</f>
        <v>92912</v>
      </c>
      <c r="H61" s="154">
        <f>SUM(H62:H68)</f>
        <v>166526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651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284</v>
      </c>
      <c r="D63" s="151">
        <v>78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66195</v>
      </c>
      <c r="D64" s="155">
        <f>SUM(D58:D63)</f>
        <v>71872</v>
      </c>
      <c r="E64" s="237" t="s">
        <v>200</v>
      </c>
      <c r="F64" s="242" t="s">
        <v>201</v>
      </c>
      <c r="G64" s="152">
        <v>68823</v>
      </c>
      <c r="H64" s="152">
        <v>135937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6269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9628</v>
      </c>
      <c r="H66" s="152">
        <v>9455</v>
      </c>
    </row>
    <row r="67" spans="1:8" ht="15">
      <c r="A67" s="235" t="s">
        <v>207</v>
      </c>
      <c r="B67" s="241" t="s">
        <v>208</v>
      </c>
      <c r="C67" s="151">
        <v>48596</v>
      </c>
      <c r="D67" s="151">
        <v>35522</v>
      </c>
      <c r="E67" s="237" t="s">
        <v>209</v>
      </c>
      <c r="F67" s="242" t="s">
        <v>210</v>
      </c>
      <c r="G67" s="152">
        <v>2765</v>
      </c>
      <c r="H67" s="152">
        <v>2310</v>
      </c>
    </row>
    <row r="68" spans="1:8" ht="15">
      <c r="A68" s="235" t="s">
        <v>211</v>
      </c>
      <c r="B68" s="241" t="s">
        <v>212</v>
      </c>
      <c r="C68" s="151">
        <v>96034</v>
      </c>
      <c r="D68" s="151">
        <v>126977</v>
      </c>
      <c r="E68" s="237" t="s">
        <v>213</v>
      </c>
      <c r="F68" s="242" t="s">
        <v>214</v>
      </c>
      <c r="G68" s="152">
        <v>11045</v>
      </c>
      <c r="H68" s="152">
        <v>12555</v>
      </c>
    </row>
    <row r="69" spans="1:8" ht="15">
      <c r="A69" s="235" t="s">
        <v>215</v>
      </c>
      <c r="B69" s="241" t="s">
        <v>216</v>
      </c>
      <c r="C69" s="151">
        <v>11451</v>
      </c>
      <c r="D69" s="151">
        <v>8321</v>
      </c>
      <c r="E69" s="251" t="s">
        <v>78</v>
      </c>
      <c r="F69" s="242" t="s">
        <v>217</v>
      </c>
      <c r="G69" s="152">
        <v>646051</v>
      </c>
      <c r="H69" s="152">
        <v>467203</v>
      </c>
    </row>
    <row r="70" spans="1:8" ht="25.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517</v>
      </c>
      <c r="H70" s="152">
        <v>252</v>
      </c>
    </row>
    <row r="71" spans="1:18" ht="15">
      <c r="A71" s="235" t="s">
        <v>222</v>
      </c>
      <c r="B71" s="241" t="s">
        <v>223</v>
      </c>
      <c r="C71" s="151">
        <v>1823</v>
      </c>
      <c r="D71" s="151">
        <v>1419</v>
      </c>
      <c r="E71" s="253" t="s">
        <v>46</v>
      </c>
      <c r="F71" s="273" t="s">
        <v>224</v>
      </c>
      <c r="G71" s="161">
        <f>G59+G60+G61+G69+G70</f>
        <v>838483</v>
      </c>
      <c r="H71" s="161">
        <f>H59+H60+H61+H69+H70</f>
        <v>710290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9733</v>
      </c>
      <c r="D72" s="151">
        <v>6367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179</v>
      </c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83377</v>
      </c>
      <c r="D74" s="151">
        <v>87226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251014</v>
      </c>
      <c r="D75" s="155">
        <f>SUM(D67:D74)</f>
        <v>266011</v>
      </c>
      <c r="E75" s="251" t="s">
        <v>160</v>
      </c>
      <c r="F75" s="245" t="s">
        <v>234</v>
      </c>
      <c r="G75" s="152">
        <v>1133</v>
      </c>
      <c r="H75" s="152">
        <v>1413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3108</v>
      </c>
      <c r="H76" s="152">
        <v>3260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60744</v>
      </c>
      <c r="D78" s="155">
        <f>SUM(D79:D81)</f>
        <v>29610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4688</v>
      </c>
      <c r="D79" s="151">
        <v>15002</v>
      </c>
      <c r="E79" s="251" t="s">
        <v>242</v>
      </c>
      <c r="F79" s="261" t="s">
        <v>243</v>
      </c>
      <c r="G79" s="162">
        <f>G71+G74+G75+G76</f>
        <v>842724</v>
      </c>
      <c r="H79" s="162">
        <f>H71+H74+H75+H76</f>
        <v>714963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1837</v>
      </c>
      <c r="D80" s="151">
        <v>1306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54219</v>
      </c>
      <c r="D81" s="151">
        <v>13302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6985</v>
      </c>
      <c r="D82" s="151">
        <v>109090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317552</v>
      </c>
      <c r="D83" s="151">
        <v>300184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385281</v>
      </c>
      <c r="D84" s="155">
        <f>D83+D82+D78</f>
        <v>438884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82623</v>
      </c>
      <c r="D87" s="151">
        <v>88651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570676</v>
      </c>
      <c r="D88" s="151">
        <v>607518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5335</v>
      </c>
      <c r="D89" s="151">
        <v>34947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13752</v>
      </c>
      <c r="D90" s="151">
        <v>17753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672386</v>
      </c>
      <c r="D91" s="155">
        <f>SUM(D87:D90)</f>
        <v>748869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6391</v>
      </c>
      <c r="D92" s="151">
        <v>4107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1381267</v>
      </c>
      <c r="D93" s="155">
        <f>D64+D75+D84+D91+D92</f>
        <v>1529743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2805376</v>
      </c>
      <c r="D94" s="164">
        <f>D93+D55</f>
        <v>2746844.4456</v>
      </c>
      <c r="E94" s="449" t="s">
        <v>270</v>
      </c>
      <c r="F94" s="289" t="s">
        <v>271</v>
      </c>
      <c r="G94" s="165">
        <f>G36+G39+G55+G79</f>
        <v>2805375.857148</v>
      </c>
      <c r="H94" s="165">
        <f>H36+H39+H55+H79</f>
        <v>2746844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1:8" ht="15">
      <c r="A99" s="573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4" right="0.13" top="0.38" bottom="0.38" header="0.17" footer="0.17"/>
  <pageSetup fitToHeight="1000" horizontalDpi="600" verticalDpi="600" orientation="portrait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66"/>
  <sheetViews>
    <sheetView view="pageBreakPreview" zoomScaleSheetLayoutView="100" workbookViewId="0" topLeftCell="A1">
      <selection activeCell="D43" sqref="D42:D4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'[2]справка №1-БАЛАНС'!E3</f>
        <v>"Химимпорт" АД</v>
      </c>
      <c r="C2" s="590"/>
      <c r="D2" s="590"/>
      <c r="E2" s="590"/>
      <c r="F2" s="577" t="s">
        <v>2</v>
      </c>
      <c r="G2" s="577"/>
      <c r="H2" s="524">
        <f>'[2]справка №1-БАЛАНС'!H3</f>
        <v>627519</v>
      </c>
    </row>
    <row r="3" spans="1:8" ht="15">
      <c r="A3" s="465" t="s">
        <v>275</v>
      </c>
      <c r="B3" s="590" t="str">
        <f>'[2]справка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'[2]справка №1-БАЛАНС'!H4</f>
        <v> </v>
      </c>
    </row>
    <row r="4" spans="1:8" ht="17.25" customHeight="1">
      <c r="A4" s="465" t="s">
        <v>5</v>
      </c>
      <c r="B4" s="576">
        <v>39538</v>
      </c>
      <c r="C4" s="576"/>
      <c r="D4" s="576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30901</v>
      </c>
      <c r="D9" s="46">
        <v>17647</v>
      </c>
      <c r="E9" s="298" t="s">
        <v>285</v>
      </c>
      <c r="F9" s="547" t="s">
        <v>286</v>
      </c>
      <c r="G9" s="548">
        <v>10805</v>
      </c>
      <c r="H9" s="548">
        <v>9363</v>
      </c>
    </row>
    <row r="10" spans="1:8" ht="12">
      <c r="A10" s="298" t="s">
        <v>287</v>
      </c>
      <c r="B10" s="299" t="s">
        <v>288</v>
      </c>
      <c r="C10" s="46">
        <v>47961</v>
      </c>
      <c r="D10" s="46">
        <v>23525</v>
      </c>
      <c r="E10" s="298" t="s">
        <v>289</v>
      </c>
      <c r="F10" s="547" t="s">
        <v>290</v>
      </c>
      <c r="G10" s="548">
        <v>49957</v>
      </c>
      <c r="H10" s="548">
        <v>11302</v>
      </c>
    </row>
    <row r="11" spans="1:8" ht="12">
      <c r="A11" s="298" t="s">
        <v>291</v>
      </c>
      <c r="B11" s="299" t="s">
        <v>292</v>
      </c>
      <c r="C11" s="46">
        <v>8596</v>
      </c>
      <c r="D11" s="46">
        <v>4110</v>
      </c>
      <c r="E11" s="300" t="s">
        <v>293</v>
      </c>
      <c r="F11" s="547" t="s">
        <v>294</v>
      </c>
      <c r="G11" s="548">
        <v>68854</v>
      </c>
      <c r="H11" s="548">
        <v>28609</v>
      </c>
    </row>
    <row r="12" spans="1:8" ht="12">
      <c r="A12" s="298" t="s">
        <v>295</v>
      </c>
      <c r="B12" s="299" t="s">
        <v>296</v>
      </c>
      <c r="C12" s="46">
        <v>17550</v>
      </c>
      <c r="D12" s="46">
        <v>9495</v>
      </c>
      <c r="E12" s="300" t="s">
        <v>78</v>
      </c>
      <c r="F12" s="547" t="s">
        <v>297</v>
      </c>
      <c r="G12" s="548">
        <v>9306</v>
      </c>
      <c r="H12" s="548">
        <v>4455</v>
      </c>
    </row>
    <row r="13" spans="1:18" ht="12">
      <c r="A13" s="298" t="s">
        <v>298</v>
      </c>
      <c r="B13" s="299" t="s">
        <v>299</v>
      </c>
      <c r="C13" s="46">
        <v>4333</v>
      </c>
      <c r="D13" s="46">
        <v>2658</v>
      </c>
      <c r="E13" s="301" t="s">
        <v>51</v>
      </c>
      <c r="F13" s="549" t="s">
        <v>300</v>
      </c>
      <c r="G13" s="546">
        <f>SUM(G9:G12)</f>
        <v>138922</v>
      </c>
      <c r="H13" s="546">
        <f>SUM(H9:H12)</f>
        <v>53729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301</v>
      </c>
      <c r="B14" s="299" t="s">
        <v>302</v>
      </c>
      <c r="C14" s="46">
        <v>43163</v>
      </c>
      <c r="D14" s="46">
        <v>9587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>
        <v>0</v>
      </c>
      <c r="H15" s="548"/>
    </row>
    <row r="16" spans="1:8" ht="12">
      <c r="A16" s="298" t="s">
        <v>307</v>
      </c>
      <c r="B16" s="299" t="s">
        <v>308</v>
      </c>
      <c r="C16" s="47">
        <v>14222</v>
      </c>
      <c r="D16" s="47">
        <v>3633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3294</v>
      </c>
      <c r="D17" s="48">
        <v>1318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166726</v>
      </c>
      <c r="D19" s="49">
        <f>SUM(D9:D15)+D16</f>
        <v>70655</v>
      </c>
      <c r="E19" s="304" t="s">
        <v>317</v>
      </c>
      <c r="F19" s="550" t="s">
        <v>318</v>
      </c>
      <c r="G19" s="548">
        <v>27097</v>
      </c>
      <c r="H19" s="548">
        <v>20657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58432</v>
      </c>
      <c r="H21" s="548">
        <v>38615</v>
      </c>
    </row>
    <row r="22" spans="1:8" ht="24">
      <c r="A22" s="304" t="s">
        <v>324</v>
      </c>
      <c r="B22" s="305" t="s">
        <v>325</v>
      </c>
      <c r="C22" s="46">
        <v>13542</v>
      </c>
      <c r="D22" s="46">
        <v>9034</v>
      </c>
      <c r="E22" s="304" t="s">
        <v>326</v>
      </c>
      <c r="F22" s="550" t="s">
        <v>327</v>
      </c>
      <c r="G22" s="548">
        <v>586121</v>
      </c>
      <c r="H22" s="548">
        <v>294247</v>
      </c>
    </row>
    <row r="23" spans="1:8" ht="24">
      <c r="A23" s="298" t="s">
        <v>328</v>
      </c>
      <c r="B23" s="305" t="s">
        <v>329</v>
      </c>
      <c r="C23" s="46">
        <v>29262</v>
      </c>
      <c r="D23" s="46">
        <v>10683</v>
      </c>
      <c r="E23" s="298" t="s">
        <v>330</v>
      </c>
      <c r="F23" s="550" t="s">
        <v>331</v>
      </c>
      <c r="G23" s="548">
        <v>118496</v>
      </c>
      <c r="H23" s="548">
        <v>66077</v>
      </c>
    </row>
    <row r="24" spans="1:18" ht="24">
      <c r="A24" s="298" t="s">
        <v>332</v>
      </c>
      <c r="B24" s="305" t="s">
        <v>333</v>
      </c>
      <c r="C24" s="46">
        <v>584880</v>
      </c>
      <c r="D24" s="46">
        <v>293845</v>
      </c>
      <c r="E24" s="301" t="s">
        <v>103</v>
      </c>
      <c r="F24" s="552" t="s">
        <v>334</v>
      </c>
      <c r="G24" s="546">
        <f>SUM(G19:G23)</f>
        <v>790146</v>
      </c>
      <c r="H24" s="546">
        <f>SUM(H19:H23)</f>
        <v>419596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97010</v>
      </c>
      <c r="D25" s="46">
        <v>59674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724694</v>
      </c>
      <c r="D26" s="49">
        <f>SUM(D22:D25)</f>
        <v>373236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337</v>
      </c>
      <c r="B28" s="293" t="s">
        <v>338</v>
      </c>
      <c r="C28" s="50">
        <f>C26+C19</f>
        <v>891420</v>
      </c>
      <c r="D28" s="50">
        <f>D26+D19</f>
        <v>443891</v>
      </c>
      <c r="E28" s="127" t="s">
        <v>339</v>
      </c>
      <c r="F28" s="552" t="s">
        <v>340</v>
      </c>
      <c r="G28" s="546">
        <f>G13+G15+G24</f>
        <v>929068</v>
      </c>
      <c r="H28" s="546">
        <f>H13+H15+H24</f>
        <v>473325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37648</v>
      </c>
      <c r="D30" s="50">
        <f>IF((H28-D28)&gt;0,H28-D28,0)</f>
        <v>29434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0" t="s">
        <v>346</v>
      </c>
      <c r="G31" s="548">
        <v>58</v>
      </c>
      <c r="H31" s="548">
        <v>87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891420</v>
      </c>
      <c r="D33" s="49">
        <f>D28+D31+D32</f>
        <v>443891</v>
      </c>
      <c r="E33" s="127" t="s">
        <v>353</v>
      </c>
      <c r="F33" s="552" t="s">
        <v>354</v>
      </c>
      <c r="G33" s="53">
        <f>G32+G31+G28</f>
        <v>929126</v>
      </c>
      <c r="H33" s="53">
        <f>H32+H31+H28</f>
        <v>473412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37706</v>
      </c>
      <c r="D34" s="50">
        <f>IF((H33-D33)&gt;0,H33-D33,0)</f>
        <v>29521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2002</v>
      </c>
      <c r="D35" s="49">
        <f>D36+D37+D38</f>
        <v>4230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361</v>
      </c>
      <c r="B36" s="305" t="s">
        <v>362</v>
      </c>
      <c r="C36" s="46">
        <v>2002</v>
      </c>
      <c r="D36" s="46">
        <v>1439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159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>
        <v>0</v>
      </c>
      <c r="D38" s="126">
        <v>2632</v>
      </c>
      <c r="E38" s="308"/>
      <c r="F38" s="555"/>
      <c r="G38" s="551"/>
      <c r="H38" s="551"/>
    </row>
    <row r="39" spans="1:18" ht="24">
      <c r="A39" s="312" t="s">
        <v>367</v>
      </c>
      <c r="B39" s="129" t="s">
        <v>368</v>
      </c>
      <c r="C39" s="458">
        <f>+IF((G33-C33-C35)&gt;0,G33-C33-C35,0)</f>
        <v>35704</v>
      </c>
      <c r="D39" s="458">
        <f>+IF((H33-D33-D35)&gt;0,H33-D33-D35,0)</f>
        <v>25291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3490</v>
      </c>
      <c r="D40" s="51">
        <f>'[4]справка №2-ОТЧЕТ ЗА ДОХОДИТЕ'!$C$40</f>
        <v>2671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32214</v>
      </c>
      <c r="D41" s="52">
        <f>IF(H39=0,IF(D39-D40&gt;0,D39-D40+H40,0),IF(H39-H40&lt;0,H40-H39+D39,0))</f>
        <v>22620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929126</v>
      </c>
      <c r="D42" s="53">
        <f>D33+D35+D39</f>
        <v>473412</v>
      </c>
      <c r="E42" s="128" t="s">
        <v>380</v>
      </c>
      <c r="F42" s="129" t="s">
        <v>381</v>
      </c>
      <c r="G42" s="53">
        <f>G39+G33</f>
        <v>929126</v>
      </c>
      <c r="H42" s="53">
        <f>H39+H33</f>
        <v>473412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4">
        <v>39597</v>
      </c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7">
      <selection activeCell="C32" sqref="C3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"Химимпорт"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39538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5854832</v>
      </c>
      <c r="D10" s="54">
        <f>5052034+3527+754</f>
        <v>5056315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-5847630</f>
        <v>-5847630</v>
      </c>
      <c r="D11" s="54">
        <f>-4953911+1885</f>
        <v>-4952026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37717-2-1607</f>
        <v>36108</v>
      </c>
      <c r="D12" s="54">
        <f>108-3124</f>
        <v>-3016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-21507</v>
      </c>
      <c r="D13" s="54">
        <v>-9595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-63</v>
      </c>
      <c r="D14" s="54">
        <v>-238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-1448</v>
      </c>
      <c r="D15" s="54">
        <v>-984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>
        <v>-1232</v>
      </c>
      <c r="D17" s="54">
        <v>-897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64</v>
      </c>
      <c r="D18" s="54">
        <v>381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-4010</v>
      </c>
      <c r="D19" s="54">
        <v>-1885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15114</v>
      </c>
      <c r="D20" s="55">
        <f>SUM(D10:D19)</f>
        <v>88055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-53826</v>
      </c>
      <c r="D22" s="54">
        <v>-51162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47</v>
      </c>
      <c r="D23" s="54">
        <v>37608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737</v>
      </c>
      <c r="D26" s="54">
        <v>30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-30979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245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f>-6024-16017+1607-18439</f>
        <v>-38873</v>
      </c>
      <c r="D31" s="54">
        <f>-5216-599+108-3164</f>
        <v>-8871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-122894</v>
      </c>
      <c r="D32" s="55">
        <f>SUM(D22:D31)</f>
        <v>-22150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29348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67466</v>
      </c>
      <c r="D36" s="54">
        <v>2961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-32172</v>
      </c>
      <c r="D37" s="54">
        <v>-8694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-3001</v>
      </c>
      <c r="D38" s="54">
        <v>-536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-1890</v>
      </c>
      <c r="D39" s="54">
        <v>-874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894</v>
      </c>
      <c r="D41" s="54">
        <f>-2693+2454+30</f>
        <v>-209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31297</v>
      </c>
      <c r="D42" s="55">
        <f>SUM(D34:D41)</f>
        <v>21996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-76483</v>
      </c>
      <c r="D43" s="55">
        <f>D42+D32+D20</f>
        <v>87901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748869</v>
      </c>
      <c r="D44" s="132">
        <v>366211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672386</v>
      </c>
      <c r="D45" s="55">
        <f>D44+D43</f>
        <v>454112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667051</v>
      </c>
      <c r="D46" s="56">
        <v>440876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5335</v>
      </c>
      <c r="D47" s="56">
        <v>13236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575">
        <v>39597</v>
      </c>
      <c r="B50" s="436" t="s">
        <v>383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8">
      <selection activeCell="A39" sqref="A39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80" t="s">
        <v>461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"Химимпорт" АД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>
        <f>'справка №1-БАЛАНС'!E5</f>
        <v>39538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150000</v>
      </c>
      <c r="D11" s="58">
        <f>'справка №1-БАЛАНС'!H19</f>
        <v>232343</v>
      </c>
      <c r="E11" s="58">
        <f>'справка №1-БАЛАНС'!H20</f>
        <v>0</v>
      </c>
      <c r="F11" s="58">
        <f>'справка №1-БАЛАНС'!H22</f>
        <v>2403</v>
      </c>
      <c r="G11" s="58">
        <f>'справка №1-БАЛАНС'!H23</f>
        <v>0</v>
      </c>
      <c r="H11" s="60">
        <v>1275</v>
      </c>
      <c r="I11" s="58">
        <f>'справка №1-БАЛАНС'!H28+'справка №1-БАЛАНС'!H31</f>
        <v>243697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629718</v>
      </c>
      <c r="M11" s="58">
        <f>'справка №1-БАЛАНС'!H39</f>
        <v>179877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150000</v>
      </c>
      <c r="D15" s="61">
        <f aca="true" t="shared" si="2" ref="D15:M15">D11+D12</f>
        <v>232343</v>
      </c>
      <c r="E15" s="61">
        <f t="shared" si="2"/>
        <v>0</v>
      </c>
      <c r="F15" s="61">
        <f t="shared" si="2"/>
        <v>2403</v>
      </c>
      <c r="G15" s="61">
        <f t="shared" si="2"/>
        <v>0</v>
      </c>
      <c r="H15" s="61">
        <f t="shared" si="2"/>
        <v>1275</v>
      </c>
      <c r="I15" s="61">
        <f t="shared" si="2"/>
        <v>243697</v>
      </c>
      <c r="J15" s="61">
        <f t="shared" si="2"/>
        <v>0</v>
      </c>
      <c r="K15" s="61">
        <f t="shared" si="2"/>
        <v>0</v>
      </c>
      <c r="L15" s="344">
        <f t="shared" si="1"/>
        <v>629718</v>
      </c>
      <c r="M15" s="61">
        <f t="shared" si="2"/>
        <v>179877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32213.85714800001</v>
      </c>
      <c r="J16" s="345">
        <f>+'справка №1-БАЛАНС'!G32</f>
        <v>0</v>
      </c>
      <c r="K16" s="60"/>
      <c r="L16" s="344">
        <f t="shared" si="1"/>
        <v>32213.85714800001</v>
      </c>
      <c r="M16" s="60">
        <f>'справка №2-ОТЧЕТ ЗА ДОХОДИТ '!C40</f>
        <v>3490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>
        <v>-716</v>
      </c>
      <c r="I28" s="60">
        <v>11</v>
      </c>
      <c r="J28" s="60"/>
      <c r="K28" s="60"/>
      <c r="L28" s="344">
        <f t="shared" si="1"/>
        <v>-705</v>
      </c>
      <c r="M28" s="60">
        <v>-6828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2403</v>
      </c>
      <c r="G29" s="59">
        <f t="shared" si="6"/>
        <v>0</v>
      </c>
      <c r="H29" s="59">
        <f t="shared" si="6"/>
        <v>559</v>
      </c>
      <c r="I29" s="59">
        <f t="shared" si="6"/>
        <v>275921.85714800004</v>
      </c>
      <c r="J29" s="59">
        <f t="shared" si="6"/>
        <v>0</v>
      </c>
      <c r="K29" s="59">
        <f t="shared" si="6"/>
        <v>0</v>
      </c>
      <c r="L29" s="344">
        <f t="shared" si="1"/>
        <v>661226.857148</v>
      </c>
      <c r="M29" s="59">
        <f t="shared" si="6"/>
        <v>176539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150000</v>
      </c>
      <c r="D32" s="59">
        <f t="shared" si="7"/>
        <v>232343</v>
      </c>
      <c r="E32" s="59">
        <f t="shared" si="7"/>
        <v>0</v>
      </c>
      <c r="F32" s="59">
        <f t="shared" si="7"/>
        <v>2403</v>
      </c>
      <c r="G32" s="59">
        <f t="shared" si="7"/>
        <v>0</v>
      </c>
      <c r="H32" s="59">
        <f t="shared" si="7"/>
        <v>559</v>
      </c>
      <c r="I32" s="59">
        <f t="shared" si="7"/>
        <v>275921.85714800004</v>
      </c>
      <c r="J32" s="59">
        <f t="shared" si="7"/>
        <v>0</v>
      </c>
      <c r="K32" s="59">
        <f t="shared" si="7"/>
        <v>0</v>
      </c>
      <c r="L32" s="344">
        <f t="shared" si="1"/>
        <v>661226.857148</v>
      </c>
      <c r="M32" s="59">
        <f>M29+M30+M31</f>
        <v>176539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874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SheetLayoutView="100" workbookViewId="0" topLeftCell="A7">
      <selection activeCell="I48" sqref="I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385</v>
      </c>
      <c r="B2" s="610"/>
      <c r="C2" s="611" t="str">
        <f>'справка №1-БАЛАНС'!E3</f>
        <v>"Химимпорт" АД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609" t="s">
        <v>5</v>
      </c>
      <c r="B3" s="610"/>
      <c r="C3" s="612">
        <f>'справка №1-БАЛАНС'!E5</f>
        <v>39538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4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60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87638</v>
      </c>
      <c r="E9" s="189"/>
      <c r="F9" s="189"/>
      <c r="G9" s="74">
        <f>D9+E9-F9</f>
        <v>87638</v>
      </c>
      <c r="H9" s="65"/>
      <c r="I9" s="65"/>
      <c r="J9" s="74">
        <f>G9+H9-I9</f>
        <v>87638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87638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121899</v>
      </c>
      <c r="E10" s="189"/>
      <c r="F10" s="189"/>
      <c r="G10" s="74">
        <f aca="true" t="shared" si="2" ref="G10:G39">D10+E10-F10</f>
        <v>121899</v>
      </c>
      <c r="H10" s="65"/>
      <c r="I10" s="65"/>
      <c r="J10" s="74">
        <f aca="true" t="shared" si="3" ref="J10:J39">G10+H10-I10</f>
        <v>121899</v>
      </c>
      <c r="K10" s="65">
        <v>14173</v>
      </c>
      <c r="L10" s="65"/>
      <c r="M10" s="65"/>
      <c r="N10" s="74">
        <f aca="true" t="shared" si="4" ref="N10:N39">K10+L10-M10</f>
        <v>14173</v>
      </c>
      <c r="O10" s="65"/>
      <c r="P10" s="65"/>
      <c r="Q10" s="74">
        <f t="shared" si="0"/>
        <v>14173</v>
      </c>
      <c r="R10" s="74">
        <f t="shared" si="1"/>
        <v>107726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64474</v>
      </c>
      <c r="E11" s="189"/>
      <c r="F11" s="189"/>
      <c r="G11" s="74">
        <f t="shared" si="2"/>
        <v>64474</v>
      </c>
      <c r="H11" s="65"/>
      <c r="I11" s="65"/>
      <c r="J11" s="74">
        <f t="shared" si="3"/>
        <v>64474</v>
      </c>
      <c r="K11" s="65">
        <v>21513</v>
      </c>
      <c r="L11" s="65"/>
      <c r="M11" s="65"/>
      <c r="N11" s="74">
        <f t="shared" si="4"/>
        <v>21513</v>
      </c>
      <c r="O11" s="65"/>
      <c r="P11" s="65"/>
      <c r="Q11" s="74">
        <f t="shared" si="0"/>
        <v>21513</v>
      </c>
      <c r="R11" s="74">
        <f t="shared" si="1"/>
        <v>42961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80591</v>
      </c>
      <c r="E12" s="189"/>
      <c r="F12" s="189"/>
      <c r="G12" s="74">
        <f t="shared" si="2"/>
        <v>80591</v>
      </c>
      <c r="H12" s="65"/>
      <c r="I12" s="65"/>
      <c r="J12" s="74">
        <f t="shared" si="3"/>
        <v>80591</v>
      </c>
      <c r="K12" s="65">
        <v>14714</v>
      </c>
      <c r="L12" s="65"/>
      <c r="M12" s="65"/>
      <c r="N12" s="74">
        <f t="shared" si="4"/>
        <v>14714</v>
      </c>
      <c r="O12" s="65"/>
      <c r="P12" s="65"/>
      <c r="Q12" s="74">
        <f t="shared" si="0"/>
        <v>14714</v>
      </c>
      <c r="R12" s="74">
        <f t="shared" si="1"/>
        <v>65877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74271</v>
      </c>
      <c r="E13" s="189"/>
      <c r="F13" s="189"/>
      <c r="G13" s="74">
        <f t="shared" si="2"/>
        <v>74271</v>
      </c>
      <c r="H13" s="65"/>
      <c r="I13" s="65"/>
      <c r="J13" s="74">
        <f t="shared" si="3"/>
        <v>74271</v>
      </c>
      <c r="K13" s="65">
        <v>16688</v>
      </c>
      <c r="L13" s="65"/>
      <c r="M13" s="65"/>
      <c r="N13" s="74">
        <f t="shared" si="4"/>
        <v>16688</v>
      </c>
      <c r="O13" s="65"/>
      <c r="P13" s="65"/>
      <c r="Q13" s="74">
        <f t="shared" si="0"/>
        <v>16688</v>
      </c>
      <c r="R13" s="74">
        <f t="shared" si="1"/>
        <v>57583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860</v>
      </c>
      <c r="B15" s="374" t="s">
        <v>861</v>
      </c>
      <c r="C15" s="454" t="s">
        <v>862</v>
      </c>
      <c r="D15" s="455">
        <v>67695</v>
      </c>
      <c r="E15" s="455"/>
      <c r="F15" s="455"/>
      <c r="G15" s="74">
        <f t="shared" si="2"/>
        <v>67695</v>
      </c>
      <c r="H15" s="456"/>
      <c r="I15" s="456"/>
      <c r="J15" s="74">
        <f t="shared" si="3"/>
        <v>67695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67695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24980</v>
      </c>
      <c r="E16" s="189"/>
      <c r="F16" s="189"/>
      <c r="G16" s="74">
        <f t="shared" si="2"/>
        <v>24980</v>
      </c>
      <c r="H16" s="65"/>
      <c r="I16" s="65"/>
      <c r="J16" s="74">
        <f t="shared" si="3"/>
        <v>24980</v>
      </c>
      <c r="K16" s="65">
        <v>20175</v>
      </c>
      <c r="L16" s="65"/>
      <c r="M16" s="65"/>
      <c r="N16" s="74">
        <f t="shared" si="4"/>
        <v>20175</v>
      </c>
      <c r="O16" s="65"/>
      <c r="P16" s="65"/>
      <c r="Q16" s="74">
        <f aca="true" t="shared" si="5" ref="Q16:Q25">N16+O16-P16</f>
        <v>20175</v>
      </c>
      <c r="R16" s="74">
        <f aca="true" t="shared" si="6" ref="R16:R25">J16-Q16</f>
        <v>4805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521548</v>
      </c>
      <c r="E17" s="194">
        <f>SUM(E9:E16)</f>
        <v>0</v>
      </c>
      <c r="F17" s="194">
        <f>SUM(F9:F16)</f>
        <v>0</v>
      </c>
      <c r="G17" s="74">
        <f t="shared" si="2"/>
        <v>521548</v>
      </c>
      <c r="H17" s="75">
        <f>SUM(H9:H16)</f>
        <v>0</v>
      </c>
      <c r="I17" s="75">
        <f>SUM(I9:I16)</f>
        <v>0</v>
      </c>
      <c r="J17" s="74">
        <f t="shared" si="3"/>
        <v>521548</v>
      </c>
      <c r="K17" s="75">
        <f>SUM(K9:K16)</f>
        <v>87263</v>
      </c>
      <c r="L17" s="75">
        <f>SUM(L9:L16)</f>
        <v>0</v>
      </c>
      <c r="M17" s="75">
        <f>SUM(M9:M16)</f>
        <v>0</v>
      </c>
      <c r="N17" s="74">
        <f t="shared" si="4"/>
        <v>87263</v>
      </c>
      <c r="O17" s="75">
        <f>SUM(O9:O16)</f>
        <v>0</v>
      </c>
      <c r="P17" s="75">
        <f>SUM(P9:P16)</f>
        <v>0</v>
      </c>
      <c r="Q17" s="74">
        <f t="shared" si="5"/>
        <v>87263</v>
      </c>
      <c r="R17" s="74">
        <f t="shared" si="6"/>
        <v>434285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19503</v>
      </c>
      <c r="E18" s="187">
        <v>0</v>
      </c>
      <c r="F18" s="187">
        <v>0</v>
      </c>
      <c r="G18" s="74">
        <f t="shared" si="2"/>
        <v>19503</v>
      </c>
      <c r="H18" s="63"/>
      <c r="I18" s="63"/>
      <c r="J18" s="74">
        <f t="shared" si="3"/>
        <v>19503</v>
      </c>
      <c r="K18" s="63">
        <v>1369</v>
      </c>
      <c r="L18" s="63">
        <v>86</v>
      </c>
      <c r="M18" s="63">
        <v>0</v>
      </c>
      <c r="N18" s="74">
        <f t="shared" si="4"/>
        <v>1455</v>
      </c>
      <c r="O18" s="63"/>
      <c r="P18" s="63"/>
      <c r="Q18" s="74">
        <f t="shared" si="5"/>
        <v>1455</v>
      </c>
      <c r="R18" s="74">
        <f t="shared" si="6"/>
        <v>18048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35749</v>
      </c>
      <c r="E21" s="189"/>
      <c r="F21" s="189"/>
      <c r="G21" s="74">
        <f t="shared" si="2"/>
        <v>35749</v>
      </c>
      <c r="H21" s="65"/>
      <c r="I21" s="65"/>
      <c r="J21" s="74">
        <f t="shared" si="3"/>
        <v>35749</v>
      </c>
      <c r="K21" s="65">
        <v>5673</v>
      </c>
      <c r="L21" s="65">
        <v>805</v>
      </c>
      <c r="M21" s="65"/>
      <c r="N21" s="74">
        <f t="shared" si="4"/>
        <v>6478</v>
      </c>
      <c r="O21" s="65"/>
      <c r="P21" s="65"/>
      <c r="Q21" s="74">
        <f t="shared" si="5"/>
        <v>6478</v>
      </c>
      <c r="R21" s="74">
        <f t="shared" si="6"/>
        <v>29271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989</v>
      </c>
      <c r="E22" s="189">
        <v>22</v>
      </c>
      <c r="F22" s="189">
        <v>1</v>
      </c>
      <c r="G22" s="74">
        <f t="shared" si="2"/>
        <v>1010</v>
      </c>
      <c r="H22" s="65"/>
      <c r="I22" s="65"/>
      <c r="J22" s="74">
        <f t="shared" si="3"/>
        <v>1010</v>
      </c>
      <c r="K22" s="65">
        <v>677</v>
      </c>
      <c r="L22" s="65">
        <v>79</v>
      </c>
      <c r="M22" s="65">
        <v>1</v>
      </c>
      <c r="N22" s="74">
        <f t="shared" si="4"/>
        <v>755</v>
      </c>
      <c r="O22" s="65"/>
      <c r="P22" s="65"/>
      <c r="Q22" s="74">
        <f t="shared" si="5"/>
        <v>755</v>
      </c>
      <c r="R22" s="74">
        <f t="shared" si="6"/>
        <v>255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52</v>
      </c>
      <c r="E23" s="189"/>
      <c r="F23" s="189"/>
      <c r="G23" s="74">
        <f t="shared" si="2"/>
        <v>52</v>
      </c>
      <c r="H23" s="65"/>
      <c r="I23" s="65"/>
      <c r="J23" s="74">
        <f t="shared" si="3"/>
        <v>52</v>
      </c>
      <c r="K23" s="65">
        <v>52</v>
      </c>
      <c r="L23" s="65"/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23014</v>
      </c>
      <c r="E24" s="189">
        <v>3202</v>
      </c>
      <c r="F24" s="189">
        <v>1</v>
      </c>
      <c r="G24" s="74">
        <f t="shared" si="2"/>
        <v>26215</v>
      </c>
      <c r="H24" s="65"/>
      <c r="I24" s="65"/>
      <c r="J24" s="74">
        <f t="shared" si="3"/>
        <v>26215</v>
      </c>
      <c r="K24" s="65">
        <v>3333</v>
      </c>
      <c r="L24" s="65">
        <v>1280</v>
      </c>
      <c r="M24" s="65"/>
      <c r="N24" s="74">
        <f t="shared" si="4"/>
        <v>4613</v>
      </c>
      <c r="O24" s="65"/>
      <c r="P24" s="65"/>
      <c r="Q24" s="74">
        <f t="shared" si="5"/>
        <v>4613</v>
      </c>
      <c r="R24" s="74">
        <f t="shared" si="6"/>
        <v>21602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59804</v>
      </c>
      <c r="E25" s="190">
        <f aca="true" t="shared" si="7" ref="E25:P25">SUM(E21:E24)</f>
        <v>3224</v>
      </c>
      <c r="F25" s="190">
        <f t="shared" si="7"/>
        <v>2</v>
      </c>
      <c r="G25" s="67">
        <f t="shared" si="2"/>
        <v>63026</v>
      </c>
      <c r="H25" s="66">
        <f t="shared" si="7"/>
        <v>0</v>
      </c>
      <c r="I25" s="66">
        <f t="shared" si="7"/>
        <v>0</v>
      </c>
      <c r="J25" s="67">
        <f t="shared" si="3"/>
        <v>63026</v>
      </c>
      <c r="K25" s="66">
        <f t="shared" si="7"/>
        <v>9735</v>
      </c>
      <c r="L25" s="66">
        <f t="shared" si="7"/>
        <v>2164</v>
      </c>
      <c r="M25" s="66">
        <f t="shared" si="7"/>
        <v>1</v>
      </c>
      <c r="N25" s="67">
        <f t="shared" si="4"/>
        <v>11898</v>
      </c>
      <c r="O25" s="66">
        <f t="shared" si="7"/>
        <v>0</v>
      </c>
      <c r="P25" s="66">
        <f t="shared" si="7"/>
        <v>0</v>
      </c>
      <c r="Q25" s="67">
        <f t="shared" si="5"/>
        <v>11898</v>
      </c>
      <c r="R25" s="67">
        <f t="shared" si="6"/>
        <v>51128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854</v>
      </c>
      <c r="C27" s="380" t="s">
        <v>587</v>
      </c>
      <c r="D27" s="192">
        <f>SUM(D28:D31)</f>
        <v>26272</v>
      </c>
      <c r="E27" s="192">
        <f aca="true" t="shared" si="8" ref="E27:P27">SUM(E28:E31)</f>
        <v>91535</v>
      </c>
      <c r="F27" s="192">
        <f t="shared" si="8"/>
        <v>6436</v>
      </c>
      <c r="G27" s="71">
        <f t="shared" si="2"/>
        <v>111371</v>
      </c>
      <c r="H27" s="70">
        <f t="shared" si="8"/>
        <v>0</v>
      </c>
      <c r="I27" s="70">
        <f t="shared" si="8"/>
        <v>0</v>
      </c>
      <c r="J27" s="71">
        <f t="shared" si="3"/>
        <v>111371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111371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26272</v>
      </c>
      <c r="E30" s="189">
        <v>91535</v>
      </c>
      <c r="F30" s="189">
        <v>6436</v>
      </c>
      <c r="G30" s="74">
        <f t="shared" si="2"/>
        <v>111371</v>
      </c>
      <c r="H30" s="72"/>
      <c r="I30" s="72"/>
      <c r="J30" s="74">
        <f t="shared" si="3"/>
        <v>111371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111371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674587</v>
      </c>
      <c r="E37" s="189">
        <v>83954</v>
      </c>
      <c r="F37" s="189">
        <v>0</v>
      </c>
      <c r="G37" s="74">
        <f t="shared" si="2"/>
        <v>758541</v>
      </c>
      <c r="H37" s="72"/>
      <c r="I37" s="72"/>
      <c r="J37" s="74">
        <f t="shared" si="3"/>
        <v>758541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758541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603</v>
      </c>
      <c r="D38" s="194">
        <f>D27+D32+D37</f>
        <v>700859</v>
      </c>
      <c r="E38" s="194">
        <f aca="true" t="shared" si="12" ref="E38:P38">E27+E32+E37</f>
        <v>175489</v>
      </c>
      <c r="F38" s="194">
        <f t="shared" si="12"/>
        <v>6436</v>
      </c>
      <c r="G38" s="74">
        <f t="shared" si="2"/>
        <v>869912</v>
      </c>
      <c r="H38" s="75">
        <f t="shared" si="12"/>
        <v>0</v>
      </c>
      <c r="I38" s="75">
        <f t="shared" si="12"/>
        <v>0</v>
      </c>
      <c r="J38" s="74">
        <f t="shared" si="3"/>
        <v>869912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869912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10822</v>
      </c>
      <c r="E39" s="570"/>
      <c r="F39" s="570">
        <v>0</v>
      </c>
      <c r="G39" s="74">
        <f t="shared" si="2"/>
        <v>10822</v>
      </c>
      <c r="H39" s="570"/>
      <c r="I39" s="570"/>
      <c r="J39" s="74">
        <f t="shared" si="3"/>
        <v>10822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10822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1312536</v>
      </c>
      <c r="E40" s="438">
        <f>E17+E18+E19+E25+E38+E39</f>
        <v>178713</v>
      </c>
      <c r="F40" s="438">
        <f aca="true" t="shared" si="13" ref="F40:R40">F17+F18+F19+F25+F38+F39</f>
        <v>6438</v>
      </c>
      <c r="G40" s="438">
        <f t="shared" si="13"/>
        <v>1484811</v>
      </c>
      <c r="H40" s="438">
        <f t="shared" si="13"/>
        <v>0</v>
      </c>
      <c r="I40" s="438">
        <f t="shared" si="13"/>
        <v>0</v>
      </c>
      <c r="J40" s="438">
        <f t="shared" si="13"/>
        <v>1484811</v>
      </c>
      <c r="K40" s="438">
        <f t="shared" si="13"/>
        <v>98367</v>
      </c>
      <c r="L40" s="438">
        <f t="shared" si="13"/>
        <v>2250</v>
      </c>
      <c r="M40" s="438">
        <f t="shared" si="13"/>
        <v>1</v>
      </c>
      <c r="N40" s="438">
        <f t="shared" si="13"/>
        <v>100616</v>
      </c>
      <c r="O40" s="438">
        <f t="shared" si="13"/>
        <v>0</v>
      </c>
      <c r="P40" s="438">
        <f t="shared" si="13"/>
        <v>0</v>
      </c>
      <c r="Q40" s="438">
        <f t="shared" si="13"/>
        <v>100616</v>
      </c>
      <c r="R40" s="438">
        <f t="shared" si="13"/>
        <v>1384195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874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597" t="s">
        <v>783</v>
      </c>
      <c r="P44" s="598"/>
      <c r="Q44" s="598"/>
      <c r="R44" s="598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SheetLayoutView="100" workbookViewId="0" topLeftCell="A73">
      <selection activeCell="F112" sqref="F112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9" t="str">
        <f>'справка №1-БАЛАНС'!E3</f>
        <v>"Химимпорт" АД</v>
      </c>
      <c r="C3" s="620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7">
        <f>'справка №1-БАЛАНС'!E5</f>
        <v>39538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9997</v>
      </c>
      <c r="D11" s="119">
        <f>SUM(D12:D14)</f>
        <v>0</v>
      </c>
      <c r="E11" s="120">
        <f>SUM(E12:E14)</f>
        <v>9997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>
        <v>9997</v>
      </c>
      <c r="D14" s="108"/>
      <c r="E14" s="120">
        <f t="shared" si="0"/>
        <v>9997</v>
      </c>
      <c r="F14" s="106"/>
    </row>
    <row r="15" spans="1:6" ht="24">
      <c r="A15" s="396" t="s">
        <v>629</v>
      </c>
      <c r="B15" s="397" t="s">
        <v>630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9997</v>
      </c>
      <c r="D19" s="104">
        <f>D11+D15+D16</f>
        <v>0</v>
      </c>
      <c r="E19" s="118">
        <f>E11+E15+E16</f>
        <v>9997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2119</v>
      </c>
      <c r="D21" s="108"/>
      <c r="E21" s="120">
        <f t="shared" si="0"/>
        <v>2119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47788</v>
      </c>
      <c r="D24" s="119">
        <f>SUM(D25:D27)</f>
        <v>47788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47788</v>
      </c>
      <c r="D25" s="108">
        <v>47788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95582</v>
      </c>
      <c r="D28" s="108">
        <v>95582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11451</v>
      </c>
      <c r="D29" s="108">
        <v>11451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1823</v>
      </c>
      <c r="D31" s="108">
        <v>1823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9733</v>
      </c>
      <c r="D33" s="105">
        <f>SUM(D34:D37)</f>
        <v>9733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452</v>
      </c>
      <c r="D34" s="108">
        <v>452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3995</v>
      </c>
      <c r="D35" s="108">
        <v>3995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5286</v>
      </c>
      <c r="D37" s="108">
        <v>5286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80425</v>
      </c>
      <c r="D38" s="105">
        <f>SUM(D39:D42)</f>
        <v>80425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80425</v>
      </c>
      <c r="D42" s="108">
        <v>80425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246802</v>
      </c>
      <c r="D43" s="104">
        <f>D24+D28+D29+D31+D30+D32+D33+D38</f>
        <v>246802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258918</v>
      </c>
      <c r="D44" s="103">
        <f>D43+D21+D19+D9</f>
        <v>246802</v>
      </c>
      <c r="E44" s="118">
        <f>E43+E21+E19+E9</f>
        <v>12116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152615</v>
      </c>
      <c r="D52" s="103">
        <f>SUM(D53:D55)</f>
        <v>0</v>
      </c>
      <c r="E52" s="119">
        <f>C52-D52</f>
        <v>152615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>
        <f>'справка №1-БАЛАНС'!G43</f>
        <v>152615</v>
      </c>
      <c r="D55" s="108"/>
      <c r="E55" s="119">
        <f t="shared" si="1"/>
        <v>152615</v>
      </c>
      <c r="F55" s="108"/>
    </row>
    <row r="56" spans="1:16" ht="36">
      <c r="A56" s="396" t="s">
        <v>696</v>
      </c>
      <c r="B56" s="397" t="s">
        <v>697</v>
      </c>
      <c r="C56" s="103">
        <f>C57+C59</f>
        <v>72501</v>
      </c>
      <c r="D56" s="103">
        <f>D57+D59</f>
        <v>0</v>
      </c>
      <c r="E56" s="119">
        <f t="shared" si="1"/>
        <v>72501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69451</v>
      </c>
      <c r="D57" s="108"/>
      <c r="E57" s="119">
        <f t="shared" si="1"/>
        <v>69451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>
        <v>3050</v>
      </c>
      <c r="D59" s="108"/>
      <c r="E59" s="119">
        <f t="shared" si="1"/>
        <v>3050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866668</v>
      </c>
      <c r="D64" s="108"/>
      <c r="E64" s="119">
        <f t="shared" si="1"/>
        <v>866668</v>
      </c>
      <c r="F64" s="110"/>
    </row>
    <row r="65" spans="1:6" ht="12">
      <c r="A65" s="396" t="s">
        <v>711</v>
      </c>
      <c r="B65" s="397" t="s">
        <v>712</v>
      </c>
      <c r="C65" s="109">
        <v>10551</v>
      </c>
      <c r="D65" s="109"/>
      <c r="E65" s="119">
        <f t="shared" si="1"/>
        <v>10551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1091784</v>
      </c>
      <c r="D66" s="103">
        <f>D52+D56+D61+D62+D63+D64</f>
        <v>0</v>
      </c>
      <c r="E66" s="119">
        <f t="shared" si="1"/>
        <v>1091784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11442</v>
      </c>
      <c r="D68" s="108">
        <v>0</v>
      </c>
      <c r="E68" s="119">
        <f t="shared" si="1"/>
        <v>11442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651</v>
      </c>
      <c r="D71" s="105">
        <f>SUM(D72:D74)</f>
        <v>651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651</v>
      </c>
      <c r="D74" s="108">
        <v>651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85791</v>
      </c>
      <c r="D75" s="103">
        <f>D76+D78</f>
        <v>89368</v>
      </c>
      <c r="E75" s="103">
        <f>E76+E78</f>
        <v>-3577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67675</v>
      </c>
      <c r="D76" s="108">
        <v>70091</v>
      </c>
      <c r="E76" s="119">
        <f t="shared" si="1"/>
        <v>-2416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>
        <v>18116</v>
      </c>
      <c r="D78" s="108">
        <v>19277</v>
      </c>
      <c r="E78" s="119">
        <f t="shared" si="1"/>
        <v>-1161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92141</v>
      </c>
      <c r="D85" s="104">
        <f>SUM(D86:D90)+D94</f>
        <v>92141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68703</v>
      </c>
      <c r="D87" s="108">
        <v>68703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0</v>
      </c>
      <c r="D88" s="108">
        <v>0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9628</v>
      </c>
      <c r="D89" s="108">
        <v>9628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11045</v>
      </c>
      <c r="D90" s="103">
        <f>SUM(D91:D93)</f>
        <v>11045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2830</v>
      </c>
      <c r="D91" s="108">
        <v>2830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693</v>
      </c>
      <c r="D92" s="108">
        <v>693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7522</v>
      </c>
      <c r="D93" s="108">
        <v>7522</v>
      </c>
      <c r="E93" s="119">
        <f t="shared" si="1"/>
        <v>0</v>
      </c>
      <c r="F93" s="108"/>
    </row>
    <row r="94" spans="1:6" ht="24">
      <c r="A94" s="396" t="s">
        <v>760</v>
      </c>
      <c r="B94" s="397" t="s">
        <v>761</v>
      </c>
      <c r="C94" s="108">
        <v>2765</v>
      </c>
      <c r="D94" s="108">
        <v>2765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643073</v>
      </c>
      <c r="D95" s="108">
        <v>644886</v>
      </c>
      <c r="E95" s="119">
        <f t="shared" si="1"/>
        <v>-1813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821656</v>
      </c>
      <c r="D96" s="104">
        <f>D85+D80+D75+D71+D95</f>
        <v>827046</v>
      </c>
      <c r="E96" s="104">
        <f>E85+E80+E75+E71+E95</f>
        <v>-5390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1924882</v>
      </c>
      <c r="D97" s="104">
        <f>D96+D68+D66</f>
        <v>827046</v>
      </c>
      <c r="E97" s="104">
        <f>E96+E68+E66</f>
        <v>1097836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517</v>
      </c>
      <c r="D104" s="108"/>
      <c r="E104" s="108">
        <v>0</v>
      </c>
      <c r="F104" s="125">
        <f>C104+D104-E104</f>
        <v>517</v>
      </c>
    </row>
    <row r="105" spans="1:16" ht="12">
      <c r="A105" s="412" t="s">
        <v>779</v>
      </c>
      <c r="B105" s="395" t="s">
        <v>780</v>
      </c>
      <c r="C105" s="103">
        <f>SUM(C102:C104)</f>
        <v>517</v>
      </c>
      <c r="D105" s="103">
        <f>SUM(D102:D104)</f>
        <v>0</v>
      </c>
      <c r="E105" s="103">
        <f>SUM(E102:E104)</f>
        <v>0</v>
      </c>
      <c r="F105" s="103">
        <f>SUM(F102:F104)</f>
        <v>517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21" t="str">
        <f>'справка №1-БАЛАНС'!E3</f>
        <v>"Химимпорт"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627519</v>
      </c>
    </row>
    <row r="5" spans="1:9" ht="15">
      <c r="A5" s="499" t="s">
        <v>5</v>
      </c>
      <c r="B5" s="622">
        <f>'справка №1-БАЛАНС'!E5</f>
        <v>39538</v>
      </c>
      <c r="C5" s="622"/>
      <c r="D5" s="622"/>
      <c r="E5" s="622"/>
      <c r="F5" s="622"/>
      <c r="G5" s="625" t="s">
        <v>4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>
        <f>'[1]LRFA'!$C$30+'[1]LRFA'!$C$44+'[1]LRFA'!$C$31+'[1]LRFA'!$C$45</f>
        <v>62419</v>
      </c>
      <c r="G16" s="98">
        <v>0</v>
      </c>
      <c r="H16" s="98">
        <v>0</v>
      </c>
      <c r="I16" s="434">
        <f t="shared" si="0"/>
        <v>62419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62419</v>
      </c>
      <c r="G17" s="85">
        <f t="shared" si="1"/>
        <v>0</v>
      </c>
      <c r="H17" s="85">
        <f t="shared" si="1"/>
        <v>0</v>
      </c>
      <c r="I17" s="434">
        <f t="shared" si="0"/>
        <v>62419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>
        <f>'[1]SRFA (2)'!$D$27+'[1]SRFA (2)'!$D$47</f>
        <v>21206</v>
      </c>
      <c r="G25" s="98"/>
      <c r="H25" s="98"/>
      <c r="I25" s="434">
        <f t="shared" si="0"/>
        <v>21206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21206</v>
      </c>
      <c r="G26" s="85">
        <f t="shared" si="2"/>
        <v>0</v>
      </c>
      <c r="H26" s="85">
        <f t="shared" si="2"/>
        <v>0</v>
      </c>
      <c r="I26" s="434">
        <f t="shared" si="0"/>
        <v>21206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" t="s">
        <v>874</v>
      </c>
      <c r="B30" s="624"/>
      <c r="C30" s="624"/>
      <c r="D30" s="457" t="s">
        <v>821</v>
      </c>
      <c r="E30" s="623"/>
      <c r="F30" s="623"/>
      <c r="G30" s="623"/>
      <c r="H30" s="420" t="s">
        <v>783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SheetLayoutView="100" workbookViewId="0" topLeftCell="A19">
      <selection activeCell="C51" sqref="C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"Химимпорт" АД</v>
      </c>
      <c r="C5" s="628"/>
      <c r="D5" s="628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29">
        <f>'справка №1-БАЛАНС'!E5</f>
        <v>39538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866</v>
      </c>
      <c r="B46" s="40"/>
      <c r="C46" s="441">
        <v>15491</v>
      </c>
      <c r="D46" s="441">
        <v>49.28</v>
      </c>
      <c r="E46" s="441"/>
      <c r="F46" s="443">
        <f>C46-E46</f>
        <v>15491</v>
      </c>
    </row>
    <row r="47" spans="1:6" ht="25.5">
      <c r="A47" s="36" t="s">
        <v>877</v>
      </c>
      <c r="B47" s="40"/>
      <c r="C47" s="441">
        <v>60935</v>
      </c>
      <c r="D47" s="441">
        <v>40</v>
      </c>
      <c r="E47" s="441"/>
      <c r="F47" s="443">
        <f aca="true" t="shared" si="2" ref="F47:F60">C47-E47</f>
        <v>60935</v>
      </c>
    </row>
    <row r="48" spans="1:6" ht="12.75">
      <c r="A48" s="36" t="s">
        <v>869</v>
      </c>
      <c r="B48" s="40"/>
      <c r="C48" s="441">
        <v>1825</v>
      </c>
      <c r="D48" s="441">
        <v>46.16</v>
      </c>
      <c r="E48" s="441"/>
      <c r="F48" s="443">
        <f t="shared" si="2"/>
        <v>1825</v>
      </c>
    </row>
    <row r="49" spans="1:6" ht="12.75">
      <c r="A49" s="36" t="s">
        <v>870</v>
      </c>
      <c r="B49" s="40"/>
      <c r="C49" s="441">
        <v>491</v>
      </c>
      <c r="D49" s="441">
        <v>35</v>
      </c>
      <c r="E49" s="441"/>
      <c r="F49" s="443">
        <f t="shared" si="2"/>
        <v>491</v>
      </c>
    </row>
    <row r="50" spans="1:6" ht="12.75">
      <c r="A50" s="36" t="s">
        <v>871</v>
      </c>
      <c r="B50" s="37"/>
      <c r="C50" s="441">
        <v>752</v>
      </c>
      <c r="D50" s="441">
        <v>38.07</v>
      </c>
      <c r="E50" s="441"/>
      <c r="F50" s="443">
        <f t="shared" si="2"/>
        <v>752</v>
      </c>
    </row>
    <row r="51" spans="1:6" ht="12.75">
      <c r="A51" s="36" t="s">
        <v>872</v>
      </c>
      <c r="B51" s="37"/>
      <c r="C51" s="441">
        <v>1955</v>
      </c>
      <c r="D51" s="441">
        <v>20</v>
      </c>
      <c r="E51" s="441"/>
      <c r="F51" s="443">
        <f t="shared" si="2"/>
        <v>1955</v>
      </c>
    </row>
    <row r="52" spans="1:6" ht="12.75">
      <c r="A52" s="36" t="s">
        <v>876</v>
      </c>
      <c r="B52" s="37"/>
      <c r="C52" s="441">
        <v>20227</v>
      </c>
      <c r="D52" s="441">
        <v>21.27</v>
      </c>
      <c r="E52" s="441"/>
      <c r="F52" s="443">
        <f t="shared" si="2"/>
        <v>20227</v>
      </c>
    </row>
    <row r="53" spans="1:6" ht="12.75">
      <c r="A53" s="36" t="s">
        <v>875</v>
      </c>
      <c r="B53" s="37"/>
      <c r="C53" s="441">
        <v>9695</v>
      </c>
      <c r="D53" s="441">
        <v>28.2</v>
      </c>
      <c r="E53" s="441"/>
      <c r="F53" s="443">
        <f t="shared" si="2"/>
        <v>9695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111371</v>
      </c>
      <c r="D61" s="429"/>
      <c r="E61" s="429">
        <f>SUM(E46:E60)</f>
        <v>0</v>
      </c>
      <c r="F61" s="442">
        <f>SUM(F46:F60)</f>
        <v>111371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111371</v>
      </c>
      <c r="D79" s="429"/>
      <c r="E79" s="429">
        <f>E78+E61+E44+E27</f>
        <v>0</v>
      </c>
      <c r="F79" s="442">
        <f>F78+F61+F44+F27</f>
        <v>111371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874</v>
      </c>
      <c r="B151" s="452"/>
      <c r="C151" s="630" t="s">
        <v>851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858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2008-05-29T13:04:47Z</cp:lastPrinted>
  <dcterms:created xsi:type="dcterms:W3CDTF">2000-06-29T12:02:40Z</dcterms:created>
  <dcterms:modified xsi:type="dcterms:W3CDTF">2008-05-29T13:04:51Z</dcterms:modified>
  <cp:category/>
  <cp:version/>
  <cp:contentType/>
  <cp:contentStatus/>
</cp:coreProperties>
</file>