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<sst xmlns="http://schemas.openxmlformats.org/spreadsheetml/2006/main" count="4340" uniqueCount="1025">
  <si>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</si>
  <si>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</si>
  <si>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</si>
  <si>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</si>
  <si>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</si>
  <si>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</si>
  <si>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</si>
  <si>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</si>
  <si>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</si>
  <si>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</si>
  <si>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</si>
  <si>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</si>
  <si>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</si>
  <si>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</si>
  <si>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</si>
  <si>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</si>
  <si>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</si>
  <si>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</si>
  <si>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</si>
  <si>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</si>
  <si>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</si>
  <si>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</si>
  <si>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</si>
  <si>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</si>
  <si>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</si>
  <si>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</si>
  <si>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</si>
  <si>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</si>
  <si>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</si>
  <si>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</si>
  <si>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</si>
  <si>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</si>
  <si>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</si>
  <si>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</si>
  <si>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</si>
  <si>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</si>
  <si>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</si>
  <si>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</si>
  <si>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</si>
  <si>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</si>
  <si>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</si>
  <si>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</si>
  <si>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</si>
  <si>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</si>
  <si>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</si>
  <si>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</si>
  <si>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</si>
  <si>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</si>
  <si>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</si>
  <si>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</si>
  <si>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</si>
  <si>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</si>
  <si>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</si>
  <si>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</si>
  <si>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</si>
  <si>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</si>
  <si>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</si>
  <si>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</si>
  <si>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</si>
  <si>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</si>
  <si>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</si>
  <si>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</si>
  <si>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</si>
  <si>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</si>
  <si>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</si>
  <si>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</si>
  <si>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</si>
  <si>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</si>
  <si>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</si>
  <si>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</si>
  <si>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</si>
  <si>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</si>
  <si>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</si>
  <si>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</si>
  <si>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</si>
  <si>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</si>
  <si>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</si>
  <si>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</si>
  <si>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</si>
  <si>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</si>
  <si>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</si>
  <si>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</si>
  <si>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</si>
  <si>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</si>
  <si>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</si>
  <si>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</si>
  <si>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</si>
  <si>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</si>
  <si>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</si>
  <si>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</si>
  <si>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</si>
  <si>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</si>
  <si>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</si>
  <si>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</si>
  <si>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</si>
  <si>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</si>
  <si>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</si>
  <si>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</si>
  <si>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</si>
  <si>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</si>
  <si>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</si>
  <si>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</si>
  <si>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</si>
  <si>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</si>
  <si>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</si>
  <si>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</si>
  <si>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</si>
  <si>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</si>
  <si>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</si>
  <si>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</si>
  <si>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</si>
  <si>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</si>
  <si>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</si>
  <si>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</si>
  <si>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</si>
  <si>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</si>
  <si>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</si>
  <si>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</si>
  <si>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</si>
  <si>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</si>
  <si>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</si>
  <si>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</si>
  <si>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</si>
  <si>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</si>
  <si>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</si>
  <si>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</si>
  <si>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</si>
  <si>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</si>
  <si>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</si>
  <si>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</si>
  <si>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</si>
  <si>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</si>
  <si>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</si>
  <si>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</si>
  <si>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</si>
  <si>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</si>
  <si>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</si>
  <si>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</si>
  <si>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</si>
  <si>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</si>
  <si>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</si>
  <si>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</si>
  <si>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</si>
  <si>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</si>
  <si>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</si>
  <si>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</si>
  <si>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</si>
  <si>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</si>
  <si>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</si>
  <si>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</si>
  <si>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</si>
  <si>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</si>
  <si>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</si>
  <si>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</si>
  <si>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</si>
  <si>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</si>
  <si>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</si>
  <si>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</si>
  <si>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</si>
  <si>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</si>
  <si>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</si>
  <si>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</si>
  <si>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</si>
  <si>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</si>
  <si>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</si>
  <si>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</si>
  <si>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</si>
  <si>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</si>
  <si>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</si>
  <si>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</si>
  <si>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</si>
  <si>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</si>
  <si>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</si>
  <si>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</si>
  <si>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</si>
  <si>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</si>
  <si>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</si>
  <si>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</si>
  <si>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</si>
  <si>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</si>
  <si>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</si>
  <si>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</si>
  <si>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</si>
  <si>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</si>
  <si>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</si>
  <si>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</si>
  <si>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</si>
  <si>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</si>
  <si>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</si>
  <si>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</si>
  <si>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</si>
  <si>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</si>
  <si>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</si>
  <si>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</si>
  <si>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</si>
  <si>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</si>
  <si>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</si>
  <si>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</si>
  <si>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</si>
  <si>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</si>
  <si>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</si>
  <si>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</si>
  <si>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</si>
  <si>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</si>
  <si>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</si>
  <si>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</si>
  <si>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</si>
  <si>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</si>
  <si>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</si>
  <si>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</si>
  <si>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</si>
  <si>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</si>
  <si>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</si>
  <si>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</si>
  <si>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</si>
  <si>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</si>
  <si>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</si>
  <si>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</si>
  <si>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</si>
  <si>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</si>
  <si>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</si>
  <si>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</si>
  <si>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</si>
  <si>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</si>
  <si>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</si>
  <si>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</si>
  <si>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</si>
  <si>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</si>
  <si>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</si>
  <si>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</si>
  <si>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</si>
  <si>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</si>
  <si>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</si>
  <si>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</si>
  <si>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</si>
  <si>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</si>
  <si>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</si>
  <si>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</si>
  <si>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</si>
  <si>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</si>
  <si>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</si>
  <si>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</si>
  <si>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</si>
  <si>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</si>
  <si>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</si>
  <si>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</si>
  <si>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</si>
  <si>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</si>
  <si>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</si>
  <si>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</si>
  <si>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</si>
  <si>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</si>
  <si>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</si>
  <si>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</si>
  <si>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</si>
  <si>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</si>
  <si>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</si>
  <si>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</si>
  <si>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</si>
  <si>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</si>
  <si>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</si>
  <si>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</si>
  <si>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</si>
  <si>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</si>
  <si>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</si>
  <si>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</si>
  <si>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</si>
  <si>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</si>
  <si>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</si>
  <si>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</si>
  <si>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</si>
  <si>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</si>
  <si>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</si>
  <si>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</si>
  <si>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</si>
  <si>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</si>
  <si>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</si>
  <si>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</si>
  <si>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</si>
  <si>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</si>
  <si>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</si>
  <si>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</si>
  <si>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</si>
  <si>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</si>
  <si>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</si>
  <si>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</si>
  <si>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</si>
  <si>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</si>
  <si>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</si>
  <si>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</si>
  <si>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</si>
  <si>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</si>
  <si>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</si>
  <si>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</si>
  <si>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</si>
  <si>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</si>
  <si>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</si>
  <si>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</si>
  <si>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</si>
  <si>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</si>
  <si>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</si>
  <si>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</si>
  <si>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</si>
  <si>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</si>
  <si>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</si>
  <si>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</si>
  <si>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</si>
  <si>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</si>
  <si>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</si>
  <si>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</si>
  <si>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</si>
  <si>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</si>
  <si>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</si>
  <si>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</si>
  <si>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</si>
  <si>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</si>
  <si>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</si>
  <si>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</si>
  <si>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</si>
  <si>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</si>
  <si>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</si>
  <si>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</si>
  <si>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</si>
  <si>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</si>
  <si>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</si>
  <si>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</si>
  <si>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</si>
  <si>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</si>
  <si>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</si>
  <si>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</si>
  <si>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</si>
  <si>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</si>
  <si>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</si>
  <si>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</si>
  <si>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</si>
  <si>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</si>
  <si>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</si>
  <si>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</si>
  <si>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</si>
  <si>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</si>
  <si>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</si>
  <si>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</si>
  <si>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</si>
  <si>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</si>
  <si>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</si>
  <si>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</si>
  <si>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</si>
  <si>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</si>
  <si>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</si>
  <si>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</si>
  <si>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</si>
  <si>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</si>
  <si>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</si>
  <si>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</si>
  <si>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</si>
  <si>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</si>
  <si>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</si>
  <si>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</si>
  <si>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</si>
  <si>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</si>
  <si>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</si>
  <si>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</si>
  <si>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</si>
  <si>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</si>
  <si>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</si>
  <si>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</si>
  <si>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</si>
  <si>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</si>
  <si>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</si>
  <si>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</si>
  <si>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</si>
  <si>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</si>
  <si>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</si>
  <si>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</si>
  <si>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</si>
  <si>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</si>
  <si>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</si>
  <si>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</si>
  <si>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</si>
  <si>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</si>
  <si>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</si>
  <si>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</si>
  <si>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</si>
  <si>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</si>
  <si>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</si>
  <si>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</si>
  <si>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</si>
  <si>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</si>
  <si>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</si>
  <si>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</si>
  <si>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</si>
  <si>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</si>
  <si>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</si>
  <si>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</si>
  <si>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</si>
  <si>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</si>
  <si>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</si>
  <si>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</si>
  <si>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</si>
  <si>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</si>
  <si>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</si>
  <si>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</si>
  <si>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</si>
  <si>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</si>
  <si>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</si>
  <si>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</si>
  <si>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</si>
  <si>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</si>
  <si>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</si>
  <si>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</si>
  <si>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</si>
  <si>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</si>
  <si>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</si>
  <si>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</si>
  <si>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</si>
  <si>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</si>
  <si>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</si>
  <si>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</si>
  <si>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</si>
  <si>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</si>
  <si>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</si>
  <si>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</si>
  <si>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</si>
  <si>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</si>
  <si>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</si>
  <si>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</si>
  <si>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</si>
  <si>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</si>
  <si>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</si>
  <si>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</si>
  <si>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</si>
  <si>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</si>
  <si>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</si>
  <si>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</si>
  <si>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</si>
  <si>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</si>
  <si>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</si>
  <si>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</si>
  <si>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</si>
  <si>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</si>
  <si>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</si>
  <si>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</si>
  <si>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</si>
  <si>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</si>
  <si>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</si>
  <si>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</si>
  <si>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</si>
  <si>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</si>
  <si>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</si>
  <si>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</si>
  <si>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</si>
  <si>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</si>
  <si>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</si>
  <si>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</si>
  <si>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</si>
  <si>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</si>
  <si>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</si>
  <si>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</si>
  <si>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</si>
  <si>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</si>
  <si>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</si>
  <si>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</si>
  <si>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</si>
  <si>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</si>
  <si>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</si>
  <si>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</si>
  <si>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</si>
  <si>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</si>
  <si>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</si>
  <si>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</si>
  <si>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</si>
  <si>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</si>
  <si>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</si>
  <si>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</si>
  <si>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</si>
  <si>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</si>
  <si>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</si>
  <si>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</si>
  <si>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</si>
  <si>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</si>
  <si>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</si>
  <si>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</si>
  <si>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</si>
  <si>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</si>
  <si>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</si>
  <si>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</si>
  <si>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</si>
  <si>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</si>
  <si>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</si>
  <si>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</si>
  <si>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</si>
  <si>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</si>
  <si>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</si>
  <si>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</si>
  <si>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</si>
  <si>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</si>
  <si>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</si>
  <si>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</si>
  <si>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</si>
  <si>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</si>
  <si>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</si>
  <si>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</si>
  <si>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</si>
  <si>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</si>
  <si>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</si>
  <si>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</si>
  <si>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</si>
  <si>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</si>
  <si>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</si>
  <si>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</si>
  <si>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</si>
  <si>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</si>
  <si>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</si>
  <si>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</si>
  <si>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</si>
  <si>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</si>
  <si>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</si>
  <si>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</si>
  <si>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</si>
  <si>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</si>
  <si>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</si>
  <si>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</si>
  <si>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</si>
  <si>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</si>
  <si>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</si>
  <si>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</si>
  <si>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</si>
  <si>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</si>
  <si>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</si>
  <si>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</si>
  <si>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</si>
  <si>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</si>
  <si>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</si>
  <si>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</si>
  <si>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</si>
  <si>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</si>
  <si>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</si>
  <si>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</si>
  <si>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</si>
  <si>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</si>
  <si>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</si>
  <si>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</si>
  <si>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</si>
  <si>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</si>
  <si>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</si>
  <si>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</si>
  <si>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</si>
  <si>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</si>
  <si>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</si>
  <si>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</si>
  <si>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</si>
  <si>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</si>
  <si>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</si>
  <si>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</si>
  <si>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</si>
  <si>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</si>
  <si>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</si>
  <si>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</si>
  <si>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</si>
  <si>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</si>
  <si>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</si>
  <si>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</si>
  <si>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</si>
  <si>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</si>
  <si>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</si>
  <si>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</si>
  <si>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</si>
  <si>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</si>
  <si>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</si>
  <si>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</si>
  <si>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</si>
  <si>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</si>
  <si>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</si>
  <si>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</si>
  <si>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</si>
  <si>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</si>
  <si>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</si>
  <si>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</si>
  <si>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</si>
  <si>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</si>
  <si>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</si>
  <si>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</si>
  <si>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</si>
  <si>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</si>
  <si>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</si>
  <si>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</si>
  <si>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</si>
  <si>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</si>
  <si>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</si>
  <si>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</si>
  <si>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</si>
  <si>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</si>
  <si>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</si>
  <si>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</si>
  <si>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</si>
  <si>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</si>
  <si>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</si>
  <si>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</si>
  <si>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</si>
  <si>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</si>
  <si>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</si>
  <si>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</si>
  <si>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</si>
  <si>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</si>
  <si>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</si>
  <si>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</si>
  <si>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</si>
  <si>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</si>
  <si>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</si>
  <si>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</si>
  <si>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</si>
  <si>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</si>
  <si>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</si>
  <si>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</si>
  <si>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</si>
  <si>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</si>
  <si>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</si>
  <si>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</si>
  <si>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</si>
  <si>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</si>
  <si>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</si>
  <si>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</si>
  <si>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</si>
  <si>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</si>
  <si>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</si>
  <si>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</si>
  <si>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</si>
  <si>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</si>
  <si>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</si>
  <si>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</si>
  <si>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</si>
  <si>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</si>
  <si>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</si>
  <si>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</si>
  <si>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</si>
  <si>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</si>
  <si>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</si>
  <si>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</si>
  <si>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</si>
  <si>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</si>
  <si>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</si>
  <si>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</si>
  <si>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</si>
  <si>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</si>
  <si>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</si>
  <si>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</si>
  <si>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</si>
  <si>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</si>
  <si>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</si>
  <si>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</si>
  <si>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</si>
  <si>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</si>
  <si>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</si>
  <si>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</si>
  <si>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</si>
  <si>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</si>
  <si>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</si>
  <si>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</si>
  <si>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</si>
  <si>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</si>
  <si>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</si>
  <si>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</si>
  <si>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</si>
  <si>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</si>
  <si>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</si>
  <si>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</si>
  <si>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</si>
  <si>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</si>
  <si>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</si>
  <si>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</si>
  <si>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</si>
  <si>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</si>
  <si>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</si>
  <si>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</si>
  <si>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</si>
  <si>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</si>
  <si>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</si>
  <si>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</si>
  <si>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</si>
  <si>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</si>
  <si>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</si>
  <si>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</si>
  <si>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</si>
  <si>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</si>
  <si>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</si>
  <si>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</si>
  <si>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</si>
  <si>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</si>
  <si>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</si>
  <si>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</si>
  <si>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</si>
  <si>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</si>
  <si>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</si>
  <si>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</si>
  <si>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</si>
  <si>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</si>
  <si>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</si>
  <si>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</si>
  <si>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</si>
  <si>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</si>
  <si>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</si>
  <si>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</si>
  <si>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</si>
  <si>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</si>
  <si>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</si>
  <si>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</si>
  <si>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</si>
  <si>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</si>
  <si>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</si>
  <si>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</si>
  <si>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</si>
  <si>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</si>
  <si>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</si>
  <si>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</si>
  <si>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</si>
  <si>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</si>
  <si>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</si>
  <si>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</si>
  <si>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</si>
  <si>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</si>
  <si>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</si>
  <si>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</si>
  <si>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</si>
  <si>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</si>
  <si>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</si>
  <si>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</si>
  <si>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</si>
  <si>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</si>
  <si>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</si>
  <si>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</si>
  <si>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</si>
  <si>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</si>
  <si>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</si>
  <si>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</si>
  <si>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</si>
  <si>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</si>
  <si>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</si>
  <si>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</si>
  <si>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</si>
  <si>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</si>
  <si>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</si>
  <si>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</si>
  <si>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</si>
  <si>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</si>
  <si>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</si>
  <si>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</si>
  <si>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</si>
  <si>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</si>
  <si>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</si>
  <si>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</si>
  <si>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</si>
  <si>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</si>
  <si>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</si>
  <si>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</si>
  <si>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</si>
  <si>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</si>
  <si>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</si>
  <si>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</si>
  <si>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</si>
  <si>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</si>
  <si>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</si>
  <si>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</si>
  <si>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</si>
  <si>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</si>
  <si>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</si>
  <si>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</si>
  <si>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</si>
  <si>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</si>
  <si>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</si>
  <si>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</si>
  <si>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</si>
  <si>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</si>
  <si>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</si>
  <si>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</si>
  <si>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</si>
  <si>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</si>
  <si>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</si>
  <si>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</si>
  <si>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</si>
  <si>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</si>
  <si>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</si>
  <si>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</si>
  <si>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</si>
  <si>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</si>
  <si>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</si>
  <si>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</si>
  <si>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</si>
  <si>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</si>
  <si>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</si>
  <si>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</si>
  <si>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</si>
  <si>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</si>
  <si>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</si>
  <si>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</si>
  <si>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</si>
  <si>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</si>
  <si>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</si>
  <si>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</si>
  <si>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</si>
  <si>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</si>
  <si>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</si>
  <si>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</si>
  <si>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</si>
  <si>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</si>
  <si>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</si>
  <si>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</si>
  <si>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</si>
  <si>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</si>
  <si>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</si>
  <si>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</si>
  <si>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</si>
  <si>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</si>
  <si>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</si>
  <si>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</si>
  <si>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</si>
  <si>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</si>
  <si>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</si>
  <si>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</si>
  <si>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</si>
  <si>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</si>
  <si>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</si>
  <si>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</si>
  <si>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</si>
  <si>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</si>
  <si>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</si>
  <si>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</si>
  <si>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</si>
  <si>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</si>
  <si>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</si>
  <si>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</si>
  <si>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</si>
  <si>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</si>
  <si>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</si>
  <si>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</si>
  <si>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</si>
  <si>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</si>
  <si>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</si>
  <si>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</si>
  <si>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</si>
  <si>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</si>
  <si>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</si>
  <si>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</si>
  <si>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</si>
  <si>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</si>
  <si>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</si>
  <si>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</si>
  <si>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</si>
  <si>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</si>
  <si>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</si>
  <si>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</si>
  <si>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</si>
  <si>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</si>
  <si>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</si>
  <si>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</si>
  <si>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</si>
  <si>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</si>
  <si>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</si>
  <si>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</si>
  <si>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</si>
  <si>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</si>
  <si>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</si>
  <si>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</si>
  <si>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</si>
  <si>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</si>
  <si>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</si>
  <si>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</si>
  <si>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</si>
  <si>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</si>
  <si>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</si>
  <si>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</si>
  <si>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</si>
  <si>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</si>
  <si>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</si>
  <si>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</si>
  <si>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</si>
  <si>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</si>
  <si>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</si>
  <si>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</si>
  <si>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</si>
  <si>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</si>
  <si>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</si>
  <si>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</si>
  <si>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</si>
  <si>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</si>
  <si>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</si>
  <si>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</si>
  <si>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</si>
  <si>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</si>
  <si>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</si>
  <si>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</si>
  <si>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</si>
  <si>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</si>
  <si>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</si>
  <si>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</si>
  <si>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</si>
  <si>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</si>
  <si>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</si>
  <si>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</si>
  <si>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</si>
  <si>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</si>
  <si>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</si>
  <si>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</si>
  <si>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</si>
  <si>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</si>
  <si>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</si>
  <si>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</si>
  <si>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</si>
  <si>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</si>
  <si>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</si>
  <si>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</si>
  <si>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</si>
  <si>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</si>
  <si>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</si>
  <si>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</si>
  <si>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</si>
  <si>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</si>
  <si>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</si>
  <si>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</si>
  <si>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</si>
  <si>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</si>
  <si>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</si>
  <si>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</si>
  <si>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</si>
  <si>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</si>
  <si>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</si>
  <si>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</si>
  <si>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</si>
  <si>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</si>
  <si>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</si>
  <si>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</si>
  <si>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</si>
  <si>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</si>
  <si>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</si>
  <si>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</si>
  <si>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</si>
  <si>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</si>
  <si>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</si>
  <si>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</si>
  <si>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</si>
  <si>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</si>
  <si>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</si>
  <si>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</si>
  <si>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</si>
  <si>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</si>
  <si>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</si>
  <si>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</si>
  <si>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</si>
  <si>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</si>
  <si>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</si>
  <si>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</si>
  <si>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</si>
  <si>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</si>
  <si>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</si>
  <si>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</si>
  <si>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</si>
  <si>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</si>
  <si>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</si>
  <si>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</si>
  <si>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</si>
  <si>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</si>
  <si>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</si>
  <si>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</si>
  <si>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</si>
  <si>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</si>
  <si>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</si>
  <si>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</si>
  <si>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</si>
  <si>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</si>
  <si>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</si>
  <si>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</si>
  <si>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</si>
  <si>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</si>
  <si>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</si>
  <si>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</si>
  <si>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</si>
  <si>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</si>
  <si>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</si>
  <si>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</si>
  <si>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</si>
  <si>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</si>
  <si>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</si>
  <si>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</si>
  <si>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</si>
  <si>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</si>
  <si>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</si>
  <si>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</si>
  <si>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</si>
  <si>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</si>
  <si>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</si>
  <si>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</si>
  <si>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</si>
  <si>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</si>
  <si>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</si>
  <si>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</si>
  <si>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гр. София, ул. Проф. Фритьоф Нансен 37 А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</si>
  <si>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</si>
  <si>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</si>
  <si>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</si>
  <si>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</si>
  <si>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</si>
  <si>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</si>
  <si>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3. Булярд корабостроителна индустрия АД</t>
  </si>
  <si>
    <t>8. Меритайм холдинг АД</t>
  </si>
  <si>
    <t>100.000</t>
  </si>
  <si>
    <t>67.960</t>
  </si>
  <si>
    <t>99.650</t>
  </si>
  <si>
    <t>70.000</t>
  </si>
  <si>
    <t>61.000</t>
  </si>
  <si>
    <t>51.000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</si>
  <si>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</si>
  <si>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</si>
  <si>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</si>
  <si>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</si>
  <si>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</si>
  <si>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</si>
  <si>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</si>
  <si>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</si>
  <si>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</si>
  <si>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</si>
  <si>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</si>
  <si>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Тези обратно изкупени собствени акции към 31.12.2021 г. са в процес на обезсилване и са представени по</t>
  </si>
  <si>
    <t>тяхната номинална стойност. Намалението на капита е вписано на 07.03.2022 г.</t>
  </si>
  <si>
    <t>9. ИХБ 3Дизайн АД (в ликвидация)</t>
  </si>
  <si>
    <t>собствени. На ред 1-0517 е включена дългосрочната част на "Задължение по лизинг" в размер на  0 х.лв.</t>
  </si>
  <si>
    <t>На ред 1-0618 е включена краткосрочната част на "Задължение по лизинг" в размер на 83 х.лв.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</si>
</sst>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268277</v>
      </c>
      <c r="D6" s="675">
        <f aca="true" t="shared" si="0" ref="D6:D15">C6-E6</f>
        <v>0</v>
      </c>
      <c r="E6" s="674">
        <f>'1-Баланс'!G95</f>
        <v>268277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258420</v>
      </c>
      <c r="D7" s="675">
        <f t="shared" si="0"/>
        <v>161612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8777</v>
      </c>
      <c r="D8" s="675">
        <f t="shared" si="0"/>
        <v>0</v>
      </c>
      <c r="E8" s="674">
        <f>ABS('2-Отчет за доходите'!C44)-ABS('2-Отчет за доходите'!G44)</f>
        <v>8777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3644</v>
      </c>
      <c r="D9" s="675">
        <f t="shared" si="0"/>
        <v>0</v>
      </c>
      <c r="E9" s="674">
        <f>'3-Отчет за паричния поток'!C45</f>
        <v>3644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14127</v>
      </c>
      <c r="D10" s="675">
        <f t="shared" si="0"/>
        <v>4086</v>
      </c>
      <c r="E10" s="674">
        <f>'3-Отчет за паричния поток'!C46</f>
        <v>10041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258420</v>
      </c>
      <c r="D11" s="675">
        <f t="shared" si="0"/>
        <v>0</v>
      </c>
      <c r="E11" s="674">
        <f>'4-Отчет за собствения капитал'!L34</f>
        <v>258420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191759</v>
      </c>
      <c r="D12" s="675">
        <f t="shared" si="0"/>
        <v>0</v>
      </c>
      <c r="E12" s="674">
        <f>'Справка 5'!C27+'Справка 5'!C97</f>
        <v>191759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398.95454545454544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0.03396408946675954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0.890433194683981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0.03271618513700392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13.926362297496318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6.294301327088212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6.290398126463701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3.6760343481654956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3.6760343481654956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0.14666666666666667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8.200479355293222E-05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0.022742915056308946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0.038143332559399425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0.03674187500232968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8846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0.034231096664344866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0.9462774957698815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1.1015869468037551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32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128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22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191759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191759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191759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52173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52173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244088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10047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10047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14126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14127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24189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268277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40677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112158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112158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8777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120935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258420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978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4990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46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6014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6014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3592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124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3843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3843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268277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101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102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299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44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588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69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91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679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8777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679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8777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8777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8777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9456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494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8063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875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9432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9456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9456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9456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593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-126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-401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875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866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1803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-2820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3092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272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7274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-1630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-84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-57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-1181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4322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6397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3644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10041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10041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4086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96808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96808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31016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31016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112158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112158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8777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120935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120935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249643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249643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8777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258420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258420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150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59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289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246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870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9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6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27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42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192031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192031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192031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192943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150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59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289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246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870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6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42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192031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192031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192031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192943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2818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2818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2818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2818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3090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3090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3090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3090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150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59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289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246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870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6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42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191759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191759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191759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192671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21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257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243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121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642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9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3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18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660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75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100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2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102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75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27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275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244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121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742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6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20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762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75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27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275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244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121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742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6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20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762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75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32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14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128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22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22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191759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191759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191759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191909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52173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52173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52173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10047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8727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1320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10062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62241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10047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8727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1320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10062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10062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52173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52173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52173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52179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978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978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4990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4990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46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6014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124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124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3592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3592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83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3843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9857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124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124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3592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3592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83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3843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3843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978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978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4990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4990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46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6014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6014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46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46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46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191629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191629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191629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191629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v>96808</v>
      </c>
    </row>
    <row r="13" spans="1:8" ht="15.75">
      <c r="A13" s="89" t="s">
        <v>27</v>
      </c>
      <c r="B13" s="91" t="s">
        <v>28</v>
      </c>
      <c r="C13" s="197">
        <v>75</v>
      </c>
      <c r="D13" s="196">
        <v>150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32</v>
      </c>
      <c r="D14" s="196">
        <v>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</v>
      </c>
      <c r="D16" s="196">
        <v>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96808</v>
      </c>
    </row>
    <row r="19" spans="1:8" ht="15.75">
      <c r="A19" s="89" t="s">
        <v>49</v>
      </c>
      <c r="B19" s="91" t="s">
        <v>50</v>
      </c>
      <c r="C19" s="197">
        <v>5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128</v>
      </c>
      <c r="D20" s="598">
        <f>SUM(D12:D19)</f>
        <v>228</v>
      </c>
      <c r="E20" s="89" t="s">
        <v>54</v>
      </c>
      <c r="F20" s="93" t="s">
        <v>55</v>
      </c>
      <c r="G20" s="197">
        <v>31016</v>
      </c>
      <c r="H20" s="196">
        <v>31016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40677</v>
      </c>
      <c r="H26" s="598">
        <f>H20+H21+H22</f>
        <v>40677</v>
      </c>
      <c r="M26" s="98"/>
    </row>
    <row r="27" spans="1:8" ht="15.75">
      <c r="A27" s="89" t="s">
        <v>79</v>
      </c>
      <c r="B27" s="91" t="s">
        <v>80</v>
      </c>
      <c r="C27" s="197">
        <v>22</v>
      </c>
      <c r="D27" s="196">
        <v>24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</v>
      </c>
      <c r="D28" s="598">
        <f>SUM(D24:D27)</f>
        <v>24</v>
      </c>
      <c r="E28" s="202" t="s">
        <v>84</v>
      </c>
      <c r="F28" s="93" t="s">
        <v>85</v>
      </c>
      <c r="G28" s="595">
        <f>SUM(G29:G31)</f>
        <v>112158</v>
      </c>
      <c r="H28" s="596">
        <f>SUM(H29:H31)</f>
        <v>93349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112158</v>
      </c>
      <c r="H29" s="196">
        <v>93349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8777</v>
      </c>
      <c r="H32" s="196">
        <v>18809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120935</v>
      </c>
      <c r="H34" s="598">
        <f>H28+H32+H33</f>
        <v>112158</v>
      </c>
    </row>
    <row r="35" spans="1:8" ht="15.75">
      <c r="A35" s="89" t="s">
        <v>106</v>
      </c>
      <c r="B35" s="94" t="s">
        <v>107</v>
      </c>
      <c r="C35" s="595">
        <f>SUM(C36:C39)</f>
        <v>191759</v>
      </c>
      <c r="D35" s="596">
        <f>SUM(D36:D39)</f>
        <v>192031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191759</v>
      </c>
      <c r="D36" s="196">
        <v>192031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258420</v>
      </c>
      <c r="H37" s="600">
        <f>H26+H18+H34</f>
        <v>249643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978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4990</v>
      </c>
      <c r="H45" s="196">
        <v>326</v>
      </c>
    </row>
    <row r="46" spans="1:13" ht="15.75">
      <c r="A46" s="473" t="s">
        <v>137</v>
      </c>
      <c r="B46" s="96" t="s">
        <v>138</v>
      </c>
      <c r="C46" s="597">
        <f>C35+C40+C45</f>
        <v>191759</v>
      </c>
      <c r="D46" s="598">
        <f>D35+D40+D45</f>
        <v>192031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52173</v>
      </c>
      <c r="D48" s="196">
        <v>64255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46</v>
      </c>
      <c r="H49" s="196">
        <v>46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6014</v>
      </c>
      <c r="H50" s="596">
        <f>SUM(H44:H49)</f>
        <v>372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52173</v>
      </c>
      <c r="D52" s="598">
        <f>SUM(D48:D51)</f>
        <v>64255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244088</v>
      </c>
      <c r="D56" s="602">
        <f>D20+D21+D22+D28+D33+D46+D52+D54+D55</f>
        <v>256545</v>
      </c>
      <c r="E56" s="100" t="s">
        <v>850</v>
      </c>
      <c r="F56" s="99" t="s">
        <v>172</v>
      </c>
      <c r="G56" s="599">
        <f>G50+G52+G53+G54+G55</f>
        <v>6014</v>
      </c>
      <c r="H56" s="600">
        <f>H50+H52+H53+H54+H55</f>
        <v>372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3592</v>
      </c>
      <c r="H59" s="196">
        <v>3588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168</v>
      </c>
      <c r="H61" s="596">
        <f>SUM(H62:H68)</f>
        <v>7504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124</v>
      </c>
      <c r="H62" s="196">
        <v>7418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6">
        <v>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49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8727+1320</f>
        <v>10047</v>
      </c>
      <c r="D68" s="196">
        <f>264+810</f>
        <v>1074</v>
      </c>
      <c r="E68" s="89" t="s">
        <v>212</v>
      </c>
      <c r="F68" s="93" t="s">
        <v>213</v>
      </c>
      <c r="G68" s="197">
        <v>4</v>
      </c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83</v>
      </c>
      <c r="H69" s="196">
        <v>166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3843</v>
      </c>
      <c r="H71" s="598">
        <f>H59+H60+H61+H69+H70</f>
        <v>11258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10047</v>
      </c>
      <c r="D76" s="598">
        <f>SUM(D68:D75)</f>
        <v>1074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3843</v>
      </c>
      <c r="H79" s="600">
        <f>H71+H73+H75+H77</f>
        <v>11258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14126</v>
      </c>
      <c r="D89" s="196">
        <v>3644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14127</v>
      </c>
      <c r="D92" s="598">
        <f>SUM(D88:D91)</f>
        <v>3644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24189</v>
      </c>
      <c r="D94" s="602">
        <f>D65+D76+D85+D92+D93</f>
        <v>4728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268277</v>
      </c>
      <c r="D95" s="604">
        <f>D94+D56</f>
        <v>261273</v>
      </c>
      <c r="E95" s="229" t="s">
        <v>941</v>
      </c>
      <c r="F95" s="489" t="s">
        <v>268</v>
      </c>
      <c r="G95" s="603">
        <f>G37+G40+G56+G79</f>
        <v>268277</v>
      </c>
      <c r="H95" s="604">
        <f>H37+H40+H56+H79</f>
        <v>261273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1019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1016</v>
      </c>
      <c r="C105" s="701"/>
      <c r="D105" s="701"/>
      <c r="E105" s="701"/>
      <c r="M105" s="98"/>
    </row>
    <row r="106" spans="1:5" ht="21.75" customHeight="1">
      <c r="A106" s="696"/>
      <c r="B106" s="701" t="s">
        <v>1017</v>
      </c>
      <c r="C106" s="701"/>
      <c r="D106" s="701"/>
      <c r="E106" s="701"/>
    </row>
    <row r="107" spans="1:13" ht="21.75" customHeight="1">
      <c r="A107" s="696"/>
      <c r="B107" s="701" t="s">
        <v>1018</v>
      </c>
      <c r="C107" s="701"/>
      <c r="D107" s="701"/>
      <c r="E107" s="701"/>
      <c r="M107" s="98"/>
    </row>
    <row r="108" spans="1:5" ht="21.75" customHeight="1">
      <c r="A108" s="696"/>
      <c r="B108" s="701" t="s">
        <v>1023</v>
      </c>
      <c r="C108" s="701"/>
      <c r="D108" s="701"/>
      <c r="E108" s="701"/>
    </row>
    <row r="109" spans="1:13" ht="21.75" customHeight="1">
      <c r="A109" s="696"/>
      <c r="B109" s="701" t="s">
        <v>1024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8">
      <selection activeCell="H22" sqref="H22: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</v>
      </c>
      <c r="D12" s="317">
        <v>16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101</v>
      </c>
      <c r="D13" s="317">
        <v>108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102</v>
      </c>
      <c r="D14" s="317">
        <v>105</v>
      </c>
      <c r="E14" s="245" t="s">
        <v>285</v>
      </c>
      <c r="F14" s="240" t="s">
        <v>286</v>
      </c>
      <c r="G14" s="316">
        <v>22</v>
      </c>
      <c r="H14" s="317">
        <v>22</v>
      </c>
    </row>
    <row r="15" spans="1:8" ht="15.75">
      <c r="A15" s="194" t="s">
        <v>287</v>
      </c>
      <c r="B15" s="190" t="s">
        <v>288</v>
      </c>
      <c r="C15" s="316">
        <v>299</v>
      </c>
      <c r="D15" s="317">
        <v>286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44</v>
      </c>
      <c r="D16" s="317">
        <v>40</v>
      </c>
      <c r="E16" s="236" t="s">
        <v>52</v>
      </c>
      <c r="F16" s="264" t="s">
        <v>292</v>
      </c>
      <c r="G16" s="628">
        <f>SUM(G12:G15)</f>
        <v>22</v>
      </c>
      <c r="H16" s="629">
        <f>SUM(H12:H15)</f>
        <v>22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2</v>
      </c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7">
        <v>18</v>
      </c>
      <c r="E19" s="194" t="s">
        <v>301</v>
      </c>
      <c r="F19" s="237" t="s">
        <v>302</v>
      </c>
      <c r="G19" s="316">
        <v>2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588</v>
      </c>
      <c r="D22" s="629">
        <f>SUM(D12:D18)+D19</f>
        <v>573</v>
      </c>
      <c r="E22" s="194" t="s">
        <v>309</v>
      </c>
      <c r="F22" s="237" t="s">
        <v>310</v>
      </c>
      <c r="G22" s="316">
        <v>494</v>
      </c>
      <c r="H22" s="317">
        <v>471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8063</v>
      </c>
      <c r="H23" s="317">
        <v>6255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69</v>
      </c>
      <c r="D25" s="317">
        <v>97</v>
      </c>
      <c r="E25" s="194" t="s">
        <v>318</v>
      </c>
      <c r="F25" s="237" t="s">
        <v>319</v>
      </c>
      <c r="G25" s="316">
        <v>875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9432</v>
      </c>
      <c r="H27" s="629">
        <f>SUM(H22:H26)</f>
        <v>6726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19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91</v>
      </c>
      <c r="D29" s="629">
        <f>SUM(D25:D28)</f>
        <v>116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679</v>
      </c>
      <c r="D31" s="635">
        <f>D29+D22</f>
        <v>689</v>
      </c>
      <c r="E31" s="251" t="s">
        <v>824</v>
      </c>
      <c r="F31" s="266" t="s">
        <v>331</v>
      </c>
      <c r="G31" s="253">
        <f>G16+G18+G27</f>
        <v>9456</v>
      </c>
      <c r="H31" s="254">
        <f>H16+H18+H27</f>
        <v>6748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8777</v>
      </c>
      <c r="D33" s="244">
        <f>IF((H31-D31)&gt;0,H31-D31,0)</f>
        <v>6059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679</v>
      </c>
      <c r="D36" s="637">
        <f>D31-D34+D35</f>
        <v>689</v>
      </c>
      <c r="E36" s="262" t="s">
        <v>346</v>
      </c>
      <c r="F36" s="256" t="s">
        <v>347</v>
      </c>
      <c r="G36" s="267">
        <f>G35-G34+G31</f>
        <v>9456</v>
      </c>
      <c r="H36" s="268">
        <f>H35-H34+H31</f>
        <v>6748</v>
      </c>
    </row>
    <row r="37" spans="1:8" ht="15.75">
      <c r="A37" s="261" t="s">
        <v>348</v>
      </c>
      <c r="B37" s="231" t="s">
        <v>349</v>
      </c>
      <c r="C37" s="634">
        <f>IF((G36-C36)&gt;0,G36-C36,0)</f>
        <v>8777</v>
      </c>
      <c r="D37" s="635">
        <f>IF((H36-D36)&gt;0,H36-D36,0)</f>
        <v>6059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8777</v>
      </c>
      <c r="D42" s="244">
        <f>+IF((H36-D36-D38)&gt;0,H36-D36-D38,0)</f>
        <v>6059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8777</v>
      </c>
      <c r="D44" s="268">
        <f>IF(H42=0,IF(D42-D43&gt;0,D42-D43+H43,0),IF(H42-H43&lt;0,H43-H42+D42,0))</f>
        <v>6059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9456</v>
      </c>
      <c r="D45" s="631">
        <f>D36+D38+D42</f>
        <v>6748</v>
      </c>
      <c r="E45" s="270" t="s">
        <v>373</v>
      </c>
      <c r="F45" s="272" t="s">
        <v>374</v>
      </c>
      <c r="G45" s="630">
        <f>G42+G36</f>
        <v>9456</v>
      </c>
      <c r="H45" s="631">
        <f>H42+H36</f>
        <v>6748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1019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33" activeCellId="1" sqref="C21 C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26+567</f>
        <v>593</v>
      </c>
      <c r="D11" s="196">
        <f>26+358</f>
        <v>384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</v>
      </c>
      <c r="D12" s="196">
        <v>-196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-401</v>
      </c>
      <c r="D14" s="196">
        <v>-330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875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-3+1409-7624+11170-4086</f>
        <v>866</v>
      </c>
      <c r="D20" s="196">
        <f>-9+717+4485-4304</f>
        <v>889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1803</v>
      </c>
      <c r="D21" s="659">
        <f>SUM(D11:D20)</f>
        <v>743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-2818-2</f>
        <v>-2820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3092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272</v>
      </c>
      <c r="D33" s="659">
        <f>SUM(D23:D32)</f>
        <v>-51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>
        <v>-1512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f>6296+978</f>
        <v>7274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-1630</v>
      </c>
      <c r="D38" s="196">
        <v>-1956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-83-1</f>
        <v>-84</v>
      </c>
      <c r="D39" s="196">
        <f>-77-6</f>
        <v>-83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-44-13</f>
        <v>-57</v>
      </c>
      <c r="D40" s="196">
        <f>-79-5</f>
        <v>-84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-9-1907+749-14</f>
        <v>-1181</v>
      </c>
      <c r="D42" s="196">
        <f>-12+3650-293</f>
        <v>3345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4322</v>
      </c>
      <c r="D43" s="661">
        <f>SUM(D35:D42)</f>
        <v>-290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6397</v>
      </c>
      <c r="D44" s="307">
        <f>D43+D33+D21</f>
        <v>402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3644</v>
      </c>
      <c r="D45" s="309">
        <v>749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10041</v>
      </c>
      <c r="D46" s="311">
        <f>D45+D44</f>
        <v>1151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14127-4086</f>
        <v>10041</v>
      </c>
      <c r="D47" s="298">
        <v>1151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4086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1019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59:E59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C30" sqref="C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96808</v>
      </c>
      <c r="D13" s="584">
        <f>'1-Баланс'!H20</f>
        <v>31016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112158</v>
      </c>
      <c r="J13" s="584">
        <f>'1-Баланс'!H30+'1-Баланс'!H33</f>
        <v>0</v>
      </c>
      <c r="K13" s="585"/>
      <c r="L13" s="584">
        <f>SUM(C13:K13)</f>
        <v>249643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96808</v>
      </c>
      <c r="D17" s="653">
        <f aca="true" t="shared" si="2" ref="D17:M17">D13+D14</f>
        <v>31016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112158</v>
      </c>
      <c r="J17" s="653">
        <f t="shared" si="2"/>
        <v>0</v>
      </c>
      <c r="K17" s="653">
        <f t="shared" si="2"/>
        <v>0</v>
      </c>
      <c r="L17" s="584">
        <f t="shared" si="1"/>
        <v>249643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8777</v>
      </c>
      <c r="J18" s="584">
        <f>+'1-Баланс'!G33</f>
        <v>0</v>
      </c>
      <c r="K18" s="585"/>
      <c r="L18" s="584">
        <f t="shared" si="1"/>
        <v>8777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0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120935</v>
      </c>
      <c r="J31" s="653">
        <f t="shared" si="6"/>
        <v>0</v>
      </c>
      <c r="K31" s="653">
        <f t="shared" si="6"/>
        <v>0</v>
      </c>
      <c r="L31" s="584">
        <f t="shared" si="1"/>
        <v>258420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0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120935</v>
      </c>
      <c r="J34" s="587">
        <f t="shared" si="7"/>
        <v>0</v>
      </c>
      <c r="K34" s="587">
        <f t="shared" si="7"/>
        <v>0</v>
      </c>
      <c r="L34" s="651">
        <f t="shared" si="1"/>
        <v>258420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1019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">
      <selection activeCell="D20" sqref="D2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1013</v>
      </c>
      <c r="B12" s="680"/>
      <c r="C12" s="92">
        <f>32713+12888</f>
        <v>45601</v>
      </c>
      <c r="D12" s="92" t="s">
        <v>1003</v>
      </c>
      <c r="E12" s="92"/>
      <c r="F12" s="469">
        <f>C12-E12</f>
        <v>45601</v>
      </c>
    </row>
    <row r="13" spans="1:6" ht="15.75">
      <c r="A13" s="679" t="s">
        <v>1010</v>
      </c>
      <c r="B13" s="680"/>
      <c r="C13" s="92">
        <v>46096</v>
      </c>
      <c r="D13" s="92" t="s">
        <v>1004</v>
      </c>
      <c r="E13" s="92"/>
      <c r="F13" s="469">
        <f aca="true" t="shared" si="0" ref="F13:F26">C13-E13</f>
        <v>46096</v>
      </c>
    </row>
    <row r="14" spans="1:6" ht="15.75">
      <c r="A14" s="679" t="s">
        <v>1001</v>
      </c>
      <c r="B14" s="680"/>
      <c r="C14" s="92">
        <f>63371+2818</f>
        <v>66189</v>
      </c>
      <c r="D14" s="92" t="s">
        <v>1003</v>
      </c>
      <c r="E14" s="92"/>
      <c r="F14" s="469">
        <f t="shared" si="0"/>
        <v>66189</v>
      </c>
    </row>
    <row r="15" spans="1:6" ht="15.75">
      <c r="A15" s="679" t="s">
        <v>1014</v>
      </c>
      <c r="B15" s="680"/>
      <c r="C15" s="92">
        <v>23653</v>
      </c>
      <c r="D15" s="92" t="s">
        <v>1003</v>
      </c>
      <c r="E15" s="92"/>
      <c r="F15" s="469">
        <f t="shared" si="0"/>
        <v>23653</v>
      </c>
    </row>
    <row r="16" spans="1:6" ht="15.75">
      <c r="A16" s="679" t="s">
        <v>1011</v>
      </c>
      <c r="B16" s="680"/>
      <c r="C16" s="92">
        <v>4774</v>
      </c>
      <c r="D16" s="92" t="s">
        <v>1005</v>
      </c>
      <c r="E16" s="92"/>
      <c r="F16" s="469">
        <f t="shared" si="0"/>
        <v>4774</v>
      </c>
    </row>
    <row r="17" spans="1:6" ht="15.75">
      <c r="A17" s="679" t="s">
        <v>1015</v>
      </c>
      <c r="B17" s="680"/>
      <c r="C17" s="92">
        <f>7885-3090</f>
        <v>4795</v>
      </c>
      <c r="D17" s="92" t="s">
        <v>1003</v>
      </c>
      <c r="E17" s="92"/>
      <c r="F17" s="469">
        <f t="shared" si="0"/>
        <v>4795</v>
      </c>
    </row>
    <row r="18" spans="1:6" ht="15.75">
      <c r="A18" s="679" t="s">
        <v>1012</v>
      </c>
      <c r="B18" s="680"/>
      <c r="C18" s="92">
        <v>70</v>
      </c>
      <c r="D18" s="92" t="s">
        <v>1006</v>
      </c>
      <c r="E18" s="92"/>
      <c r="F18" s="469">
        <f t="shared" si="0"/>
        <v>70</v>
      </c>
    </row>
    <row r="19" spans="1:6" ht="15.75">
      <c r="A19" s="679" t="s">
        <v>1002</v>
      </c>
      <c r="B19" s="680"/>
      <c r="C19" s="92">
        <v>400</v>
      </c>
      <c r="D19" s="92" t="s">
        <v>1007</v>
      </c>
      <c r="E19" s="92"/>
      <c r="F19" s="469">
        <f t="shared" si="0"/>
        <v>400</v>
      </c>
    </row>
    <row r="20" spans="1:6" ht="15.75">
      <c r="A20" s="679" t="s">
        <v>1022</v>
      </c>
      <c r="B20" s="680"/>
      <c r="C20" s="92">
        <v>51</v>
      </c>
      <c r="D20" s="92" t="s">
        <v>1008</v>
      </c>
      <c r="E20" s="92"/>
      <c r="F20" s="469">
        <f t="shared" si="0"/>
        <v>51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191629</v>
      </c>
      <c r="D27" s="472"/>
      <c r="E27" s="472">
        <f>SUM(E12:E26)</f>
        <v>0</v>
      </c>
      <c r="F27" s="472">
        <f>SUM(F12:F26)</f>
        <v>191629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191629</v>
      </c>
      <c r="D79" s="472"/>
      <c r="E79" s="472">
        <f>E78+E61+E44+E27</f>
        <v>0</v>
      </c>
      <c r="F79" s="472">
        <f>F78+F61+F44+F27</f>
        <v>191629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1009</v>
      </c>
      <c r="B82" s="680"/>
      <c r="C82" s="92">
        <f>130</f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1019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0">
      <selection activeCell="R28" sqref="R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150</v>
      </c>
      <c r="E12" s="328"/>
      <c r="F12" s="328"/>
      <c r="G12" s="329">
        <f aca="true" t="shared" si="2" ref="G12:G42">D12+E12-F12</f>
        <v>150</v>
      </c>
      <c r="H12" s="328"/>
      <c r="I12" s="328"/>
      <c r="J12" s="329">
        <f aca="true" t="shared" si="3" ref="J12:J42">G12+H12-I12</f>
        <v>150</v>
      </c>
      <c r="K12" s="328">
        <v>0</v>
      </c>
      <c r="L12" s="328">
        <v>75</v>
      </c>
      <c r="M12" s="328"/>
      <c r="N12" s="329">
        <f aca="true" t="shared" si="4" ref="N12:N42">K12+L12-M12</f>
        <v>75</v>
      </c>
      <c r="O12" s="328"/>
      <c r="P12" s="328"/>
      <c r="Q12" s="329">
        <f t="shared" si="0"/>
        <v>75</v>
      </c>
      <c r="R12" s="340">
        <f t="shared" si="1"/>
        <v>75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59</v>
      </c>
      <c r="E13" s="328"/>
      <c r="F13" s="328"/>
      <c r="G13" s="329">
        <f t="shared" si="2"/>
        <v>59</v>
      </c>
      <c r="H13" s="328"/>
      <c r="I13" s="328"/>
      <c r="J13" s="329">
        <f t="shared" si="3"/>
        <v>59</v>
      </c>
      <c r="K13" s="328">
        <v>21</v>
      </c>
      <c r="L13" s="328">
        <v>6</v>
      </c>
      <c r="M13" s="328"/>
      <c r="N13" s="329">
        <f t="shared" si="4"/>
        <v>27</v>
      </c>
      <c r="O13" s="328"/>
      <c r="P13" s="328"/>
      <c r="Q13" s="329">
        <f t="shared" si="0"/>
        <v>27</v>
      </c>
      <c r="R13" s="340">
        <f t="shared" si="1"/>
        <v>32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289</v>
      </c>
      <c r="E15" s="328"/>
      <c r="F15" s="328"/>
      <c r="G15" s="329">
        <f t="shared" si="2"/>
        <v>289</v>
      </c>
      <c r="H15" s="328"/>
      <c r="I15" s="328"/>
      <c r="J15" s="329">
        <f t="shared" si="3"/>
        <v>289</v>
      </c>
      <c r="K15" s="328">
        <v>257</v>
      </c>
      <c r="L15" s="328">
        <v>18</v>
      </c>
      <c r="M15" s="328"/>
      <c r="N15" s="329">
        <f t="shared" si="4"/>
        <v>275</v>
      </c>
      <c r="O15" s="328"/>
      <c r="P15" s="328"/>
      <c r="Q15" s="329">
        <f t="shared" si="0"/>
        <v>275</v>
      </c>
      <c r="R15" s="340">
        <f t="shared" si="1"/>
        <v>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246</v>
      </c>
      <c r="E16" s="328"/>
      <c r="F16" s="328"/>
      <c r="G16" s="329">
        <f t="shared" si="2"/>
        <v>246</v>
      </c>
      <c r="H16" s="328"/>
      <c r="I16" s="328"/>
      <c r="J16" s="329">
        <f t="shared" si="3"/>
        <v>246</v>
      </c>
      <c r="K16" s="328">
        <v>243</v>
      </c>
      <c r="L16" s="328">
        <v>1</v>
      </c>
      <c r="M16" s="328"/>
      <c r="N16" s="329">
        <f t="shared" si="4"/>
        <v>244</v>
      </c>
      <c r="O16" s="328"/>
      <c r="P16" s="328"/>
      <c r="Q16" s="329">
        <f t="shared" si="0"/>
        <v>244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/>
      <c r="F18" s="328"/>
      <c r="G18" s="329">
        <f t="shared" si="2"/>
        <v>126</v>
      </c>
      <c r="H18" s="328"/>
      <c r="I18" s="328"/>
      <c r="J18" s="329">
        <f t="shared" si="3"/>
        <v>126</v>
      </c>
      <c r="K18" s="328">
        <v>121</v>
      </c>
      <c r="L18" s="328"/>
      <c r="M18" s="328"/>
      <c r="N18" s="329">
        <f t="shared" si="4"/>
        <v>121</v>
      </c>
      <c r="O18" s="328"/>
      <c r="P18" s="328"/>
      <c r="Q18" s="329">
        <f t="shared" si="0"/>
        <v>121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870</v>
      </c>
      <c r="E19" s="330">
        <f>SUM(E11:E18)</f>
        <v>0</v>
      </c>
      <c r="F19" s="330">
        <f>SUM(F11:F18)</f>
        <v>0</v>
      </c>
      <c r="G19" s="329">
        <f t="shared" si="2"/>
        <v>870</v>
      </c>
      <c r="H19" s="330">
        <f>SUM(H11:H18)</f>
        <v>0</v>
      </c>
      <c r="I19" s="330">
        <f>SUM(I11:I18)</f>
        <v>0</v>
      </c>
      <c r="J19" s="329">
        <f t="shared" si="3"/>
        <v>870</v>
      </c>
      <c r="K19" s="330">
        <f>SUM(K11:K18)</f>
        <v>642</v>
      </c>
      <c r="L19" s="330">
        <f>SUM(L11:L18)</f>
        <v>100</v>
      </c>
      <c r="M19" s="330">
        <f>SUM(M11:M18)</f>
        <v>0</v>
      </c>
      <c r="N19" s="329">
        <f t="shared" si="4"/>
        <v>742</v>
      </c>
      <c r="O19" s="330">
        <f>SUM(O11:O18)</f>
        <v>0</v>
      </c>
      <c r="P19" s="330">
        <f>SUM(P11:P18)</f>
        <v>0</v>
      </c>
      <c r="Q19" s="329">
        <f t="shared" si="0"/>
        <v>742</v>
      </c>
      <c r="R19" s="340">
        <f t="shared" si="1"/>
        <v>128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</v>
      </c>
      <c r="E25" s="328"/>
      <c r="F25" s="328"/>
      <c r="G25" s="329">
        <f t="shared" si="2"/>
        <v>6</v>
      </c>
      <c r="H25" s="328"/>
      <c r="I25" s="328"/>
      <c r="J25" s="329">
        <f t="shared" si="3"/>
        <v>6</v>
      </c>
      <c r="K25" s="328">
        <v>6</v>
      </c>
      <c r="L25" s="328"/>
      <c r="M25" s="328"/>
      <c r="N25" s="329">
        <f t="shared" si="4"/>
        <v>6</v>
      </c>
      <c r="O25" s="328"/>
      <c r="P25" s="328"/>
      <c r="Q25" s="329">
        <f t="shared" si="0"/>
        <v>6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</v>
      </c>
      <c r="E27" s="328"/>
      <c r="F27" s="328"/>
      <c r="G27" s="329">
        <f t="shared" si="2"/>
        <v>27</v>
      </c>
      <c r="H27" s="328"/>
      <c r="I27" s="328"/>
      <c r="J27" s="329">
        <f t="shared" si="3"/>
        <v>27</v>
      </c>
      <c r="K27" s="328">
        <v>3</v>
      </c>
      <c r="L27" s="328">
        <v>2</v>
      </c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22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42</v>
      </c>
      <c r="H28" s="332">
        <f t="shared" si="5"/>
        <v>0</v>
      </c>
      <c r="I28" s="332">
        <f t="shared" si="5"/>
        <v>0</v>
      </c>
      <c r="J28" s="333">
        <f t="shared" si="3"/>
        <v>42</v>
      </c>
      <c r="K28" s="332">
        <f t="shared" si="5"/>
        <v>18</v>
      </c>
      <c r="L28" s="332">
        <f t="shared" si="5"/>
        <v>2</v>
      </c>
      <c r="M28" s="332">
        <f t="shared" si="5"/>
        <v>0</v>
      </c>
      <c r="N28" s="333">
        <f t="shared" si="4"/>
        <v>20</v>
      </c>
      <c r="O28" s="332">
        <f t="shared" si="5"/>
        <v>0</v>
      </c>
      <c r="P28" s="332">
        <f t="shared" si="5"/>
        <v>0</v>
      </c>
      <c r="Q28" s="333">
        <f t="shared" si="0"/>
        <v>20</v>
      </c>
      <c r="R28" s="343">
        <f t="shared" si="1"/>
        <v>22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192031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192031</v>
      </c>
      <c r="H30" s="335">
        <f t="shared" si="6"/>
        <v>2818</v>
      </c>
      <c r="I30" s="335">
        <f t="shared" si="6"/>
        <v>3090</v>
      </c>
      <c r="J30" s="336">
        <f t="shared" si="3"/>
        <v>191759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191759</v>
      </c>
    </row>
    <row r="31" spans="1:18" ht="15.75">
      <c r="A31" s="339"/>
      <c r="B31" s="321" t="s">
        <v>108</v>
      </c>
      <c r="C31" s="152" t="s">
        <v>563</v>
      </c>
      <c r="D31" s="328">
        <v>192031</v>
      </c>
      <c r="E31" s="328"/>
      <c r="F31" s="328"/>
      <c r="G31" s="329">
        <f t="shared" si="2"/>
        <v>192031</v>
      </c>
      <c r="H31" s="328">
        <v>2818</v>
      </c>
      <c r="I31" s="328">
        <v>3090</v>
      </c>
      <c r="J31" s="329">
        <f t="shared" si="3"/>
        <v>191759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191759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192031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192031</v>
      </c>
      <c r="H41" s="330">
        <f t="shared" si="10"/>
        <v>2818</v>
      </c>
      <c r="I41" s="330">
        <f t="shared" si="10"/>
        <v>3090</v>
      </c>
      <c r="J41" s="329">
        <f t="shared" si="3"/>
        <v>191759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191759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192943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192943</v>
      </c>
      <c r="H43" s="349">
        <f t="shared" si="11"/>
        <v>2818</v>
      </c>
      <c r="I43" s="349">
        <f t="shared" si="11"/>
        <v>3090</v>
      </c>
      <c r="J43" s="349">
        <f t="shared" si="11"/>
        <v>192671</v>
      </c>
      <c r="K43" s="349">
        <f t="shared" si="11"/>
        <v>660</v>
      </c>
      <c r="L43" s="349">
        <f t="shared" si="11"/>
        <v>102</v>
      </c>
      <c r="M43" s="349">
        <f t="shared" si="11"/>
        <v>0</v>
      </c>
      <c r="N43" s="349">
        <f t="shared" si="11"/>
        <v>762</v>
      </c>
      <c r="O43" s="349">
        <f t="shared" si="11"/>
        <v>0</v>
      </c>
      <c r="P43" s="349">
        <f t="shared" si="11"/>
        <v>0</v>
      </c>
      <c r="Q43" s="349">
        <f t="shared" si="11"/>
        <v>762</v>
      </c>
      <c r="R43" s="350">
        <f t="shared" si="11"/>
        <v>191909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1019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7">
      <selection activeCell="I102" sqref="I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52173</v>
      </c>
      <c r="D13" s="362">
        <f>SUM(D14:D16)</f>
        <v>0</v>
      </c>
      <c r="E13" s="369">
        <f>SUM(E14:E16)</f>
        <v>52173</v>
      </c>
      <c r="F13" s="133"/>
    </row>
    <row r="14" spans="1:6" ht="15.75">
      <c r="A14" s="370" t="s">
        <v>596</v>
      </c>
      <c r="B14" s="135" t="s">
        <v>597</v>
      </c>
      <c r="C14" s="368">
        <v>52173</v>
      </c>
      <c r="D14" s="368"/>
      <c r="E14" s="369">
        <f aca="true" t="shared" si="0" ref="E14:E44">C14-D14</f>
        <v>52173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52173</v>
      </c>
      <c r="D21" s="440">
        <f>D13+D17+D18</f>
        <v>0</v>
      </c>
      <c r="E21" s="441">
        <f>E13+E17+E18</f>
        <v>52173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</v>
      </c>
      <c r="D23" s="443"/>
      <c r="E23" s="442">
        <f t="shared" si="0"/>
        <v>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10047</v>
      </c>
      <c r="D26" s="362">
        <f>SUM(D27:D29)</f>
        <v>10047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8727</v>
      </c>
      <c r="D27" s="368">
        <v>8727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1320</v>
      </c>
      <c r="D29" s="368">
        <v>1320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15</v>
      </c>
      <c r="D31" s="368">
        <v>15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10062</v>
      </c>
      <c r="D45" s="438">
        <f>D26+D30+D31+D33+D32+D34+D35+D40</f>
        <v>10062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62241</v>
      </c>
      <c r="D46" s="444">
        <f>D45+D23+D21+D11</f>
        <v>10062</v>
      </c>
      <c r="E46" s="445">
        <f>E45+E23+E21+E11</f>
        <v>52179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978</v>
      </c>
      <c r="D54" s="138">
        <f>SUM(D55:D57)</f>
        <v>0</v>
      </c>
      <c r="E54" s="136">
        <f>C54-D54</f>
        <v>978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978</v>
      </c>
      <c r="D55" s="197"/>
      <c r="E55" s="136">
        <f>C55-D55</f>
        <v>978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4990</v>
      </c>
      <c r="D58" s="138">
        <f>D59+D61</f>
        <v>0</v>
      </c>
      <c r="E58" s="136">
        <f t="shared" si="1"/>
        <v>4990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4990</v>
      </c>
      <c r="D59" s="197"/>
      <c r="E59" s="136">
        <f t="shared" si="1"/>
        <v>4990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46</v>
      </c>
      <c r="D66" s="197"/>
      <c r="E66" s="136">
        <f t="shared" si="1"/>
        <v>46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6014</v>
      </c>
      <c r="D68" s="435">
        <f>D54+D58+D63+D64+D65+D66</f>
        <v>0</v>
      </c>
      <c r="E68" s="436">
        <f t="shared" si="1"/>
        <v>6014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124</v>
      </c>
      <c r="D73" s="137">
        <f>SUM(D74:D76)</f>
        <v>124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124</v>
      </c>
      <c r="D76" s="197">
        <v>124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3592</v>
      </c>
      <c r="D77" s="138">
        <f>D78+D80</f>
        <v>3592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3592</v>
      </c>
      <c r="D78" s="197">
        <v>3592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</v>
      </c>
      <c r="D87" s="134">
        <f>SUM(D88:D92)+D96</f>
        <v>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</v>
      </c>
      <c r="D89" s="197">
        <v>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83</v>
      </c>
      <c r="D97" s="197">
        <v>83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3843</v>
      </c>
      <c r="D98" s="433">
        <f>D87+D82+D77+D73+D97</f>
        <v>3843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9857</v>
      </c>
      <c r="D99" s="427">
        <f>D98+D70+D68</f>
        <v>3843</v>
      </c>
      <c r="E99" s="427">
        <f>E98+E70+E68</f>
        <v>6014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46</v>
      </c>
      <c r="D104" s="216"/>
      <c r="E104" s="216"/>
      <c r="F104" s="421">
        <f>C104+D104-E104</f>
        <v>46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46</v>
      </c>
      <c r="D107" s="425">
        <f>SUM(D104:D106)</f>
        <v>0</v>
      </c>
      <c r="E107" s="425">
        <f>SUM(E104:E106)</f>
        <v>0</v>
      </c>
      <c r="F107" s="426">
        <f>SUM(F104:F106)</f>
        <v>46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1019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1" sqref="C21: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1019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1020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1021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2021-12-10T13:26:48Z</cp:lastPrinted>
  <dcterms:created xsi:type="dcterms:W3CDTF">2006-09-16T00:00:00Z</dcterms:created>
  <dcterms:modified xsi:type="dcterms:W3CDTF">2022-07-22T07:31:40Z</dcterms:modified>
  <cp:category/>
  <cp:version/>
  <cp:contentType/>
  <cp:contentStatus/>
</cp:coreProperties>
</file>