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750" windowWidth="25170" windowHeight="63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<sst xmlns="http://schemas.openxmlformats.org/spreadsheetml/2006/main" count="4324" uniqueCount="1006">
  <si>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</si>
  <si>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</si>
  <si>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</si>
  <si>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</si>
  <si>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</si>
  <si>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</si>
  <si>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</si>
  <si>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</si>
  <si>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</si>
  <si>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</si>
  <si>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</si>
  <si>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</si>
  <si>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</si>
  <si>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</si>
  <si>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</si>
  <si>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</si>
  <si>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</si>
  <si>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</si>
  <si>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</si>
  <si>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</si>
  <si>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</si>
  <si>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</si>
  <si>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</si>
  <si>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</si>
  <si>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</si>
  <si>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</si>
  <si>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</si>
  <si>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</si>
  <si>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</si>
  <si>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</si>
  <si>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</si>
  <si>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</si>
  <si>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</si>
  <si>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</si>
  <si>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</si>
  <si>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</si>
  <si>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</si>
  <si>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</si>
  <si>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</si>
  <si>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</si>
  <si>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</si>
  <si>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</si>
  <si>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</si>
  <si>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</si>
  <si>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</si>
  <si>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</si>
  <si>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</si>
  <si>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</si>
  <si>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</si>
  <si>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</si>
  <si>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</si>
  <si>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</si>
  <si>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</si>
  <si>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</si>
  <si>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</si>
  <si>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</si>
  <si>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</si>
  <si>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</si>
  <si>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</si>
  <si>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</si>
  <si>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</si>
  <si>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</si>
  <si>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</si>
  <si>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</si>
  <si>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</si>
  <si>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</si>
  <si>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</si>
  <si>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</si>
  <si>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</si>
  <si>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</si>
  <si>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</si>
  <si>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</si>
  <si>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</si>
  <si>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</si>
  <si>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</si>
  <si>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</si>
  <si>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</si>
  <si>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</si>
  <si>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</si>
  <si>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</si>
  <si>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</si>
  <si>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</si>
  <si>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</si>
  <si>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</si>
  <si>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</si>
  <si>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</si>
  <si>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</si>
  <si>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</si>
  <si>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</si>
  <si>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</si>
  <si>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</si>
  <si>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</si>
  <si>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</si>
  <si>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</si>
  <si>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</si>
  <si>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</si>
  <si>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</si>
  <si>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</si>
  <si>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</si>
  <si>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</si>
  <si>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</si>
  <si>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</si>
  <si>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</si>
  <si>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</si>
  <si>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</si>
  <si>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</si>
  <si>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</si>
  <si>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</si>
  <si>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</si>
  <si>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</si>
  <si>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</si>
  <si>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</si>
  <si>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</si>
  <si>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</si>
  <si>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</si>
  <si>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</si>
  <si>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</si>
  <si>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</si>
  <si>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</si>
  <si>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</si>
  <si>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</si>
  <si>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</si>
  <si>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</si>
  <si>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</si>
  <si>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</si>
  <si>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</si>
  <si>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</si>
  <si>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</si>
  <si>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</si>
  <si>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</si>
  <si>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</si>
  <si>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</si>
  <si>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</si>
  <si>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</si>
  <si>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</si>
  <si>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</si>
  <si>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</si>
  <si>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</si>
  <si>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</si>
  <si>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</si>
  <si>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</si>
  <si>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</si>
  <si>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</si>
  <si>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</si>
  <si>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</si>
  <si>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</si>
  <si>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</si>
  <si>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</si>
  <si>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</si>
  <si>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</si>
  <si>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</si>
  <si>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</si>
  <si>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</si>
  <si>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</si>
  <si>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</si>
  <si>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</si>
  <si>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</si>
  <si>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</si>
  <si>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</si>
  <si>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</si>
  <si>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</si>
  <si>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</si>
  <si>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</si>
  <si>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</si>
  <si>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</si>
  <si>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</si>
  <si>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</si>
  <si>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</si>
  <si>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</si>
  <si>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</si>
  <si>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</si>
  <si>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</si>
  <si>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</si>
  <si>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</si>
  <si>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</si>
  <si>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</si>
  <si>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</si>
  <si>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</si>
  <si>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</si>
  <si>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</si>
  <si>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</si>
  <si>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</si>
  <si>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</si>
  <si>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</si>
  <si>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</si>
  <si>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</si>
  <si>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</si>
  <si>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</si>
  <si>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</si>
  <si>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</si>
  <si>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</si>
  <si>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</si>
  <si>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</si>
  <si>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</si>
  <si>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</si>
  <si>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</si>
  <si>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</si>
  <si>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</si>
  <si>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</si>
  <si>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</si>
  <si>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</si>
  <si>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</si>
  <si>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</si>
  <si>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</si>
  <si>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</si>
  <si>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</si>
  <si>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</si>
  <si>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</si>
  <si>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</si>
  <si>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</si>
  <si>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</si>
  <si>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</si>
  <si>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</si>
  <si>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</si>
  <si>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</si>
  <si>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</si>
  <si>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</si>
  <si>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</si>
  <si>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</si>
  <si>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</si>
  <si>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</si>
  <si>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</si>
  <si>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</si>
  <si>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</si>
  <si>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</si>
  <si>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</si>
  <si>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</si>
  <si>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</si>
  <si>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</si>
  <si>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</si>
  <si>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</si>
  <si>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</si>
  <si>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</si>
  <si>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</si>
  <si>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</si>
  <si>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</si>
  <si>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</si>
  <si>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</si>
  <si>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</si>
  <si>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</si>
  <si>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</si>
  <si>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</si>
  <si>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</si>
  <si>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</si>
  <si>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</si>
  <si>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</si>
  <si>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</si>
  <si>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</si>
  <si>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</si>
  <si>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</si>
  <si>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</si>
  <si>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</si>
  <si>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</si>
  <si>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</si>
  <si>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</si>
  <si>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</si>
  <si>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</si>
  <si>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</si>
  <si>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</si>
  <si>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</si>
  <si>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</si>
  <si>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</si>
  <si>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</si>
  <si>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</si>
  <si>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</si>
  <si>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</si>
  <si>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</si>
  <si>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</si>
  <si>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</si>
  <si>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</si>
  <si>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</si>
  <si>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</si>
  <si>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</si>
  <si>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</si>
  <si>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</si>
  <si>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</si>
  <si>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</si>
  <si>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</si>
  <si>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</si>
  <si>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</si>
  <si>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</si>
  <si>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</si>
  <si>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</si>
  <si>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</si>
  <si>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</si>
  <si>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</si>
  <si>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</si>
  <si>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</si>
  <si>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</si>
  <si>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</si>
  <si>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</si>
  <si>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</si>
  <si>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</si>
  <si>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</si>
  <si>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</si>
  <si>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</si>
  <si>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</si>
  <si>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</si>
  <si>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</si>
  <si>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</si>
  <si>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</si>
  <si>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</si>
  <si>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</si>
  <si>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</si>
  <si>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</si>
  <si>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</si>
  <si>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</si>
  <si>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</si>
  <si>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</si>
  <si>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</si>
  <si>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</si>
  <si>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</si>
  <si>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</si>
  <si>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</si>
  <si>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</si>
  <si>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</si>
  <si>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</si>
  <si>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</si>
  <si>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</si>
  <si>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</si>
  <si>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</si>
  <si>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</si>
  <si>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</si>
  <si>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</si>
  <si>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</si>
  <si>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</si>
  <si>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</si>
  <si>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</si>
  <si>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</si>
  <si>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</si>
  <si>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</si>
  <si>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</si>
  <si>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</si>
  <si>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</si>
  <si>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</si>
  <si>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</si>
  <si>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</si>
  <si>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</si>
  <si>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</si>
  <si>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</si>
  <si>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</si>
  <si>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</si>
  <si>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</si>
  <si>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</si>
  <si>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</si>
  <si>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</si>
  <si>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</si>
  <si>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</si>
  <si>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</si>
  <si>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</si>
  <si>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</si>
  <si>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</si>
  <si>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</si>
  <si>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</si>
  <si>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</si>
  <si>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</si>
  <si>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</si>
  <si>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</si>
  <si>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</si>
  <si>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</si>
  <si>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</si>
  <si>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</si>
  <si>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</si>
  <si>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</si>
  <si>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</si>
  <si>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</si>
  <si>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</si>
  <si>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</si>
  <si>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</si>
  <si>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</si>
  <si>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</si>
  <si>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</si>
  <si>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</si>
  <si>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</si>
  <si>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</si>
  <si>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</si>
  <si>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</si>
  <si>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</si>
  <si>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</si>
  <si>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</si>
  <si>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</si>
  <si>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</si>
  <si>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</si>
  <si>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</si>
  <si>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</si>
  <si>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</si>
  <si>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</si>
  <si>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</si>
  <si>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</si>
  <si>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</si>
  <si>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</si>
  <si>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</si>
  <si>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</si>
  <si>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</si>
  <si>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</si>
  <si>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</si>
  <si>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</si>
  <si>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</si>
  <si>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</si>
  <si>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</si>
  <si>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</si>
  <si>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</si>
  <si>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</si>
  <si>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</si>
  <si>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</si>
  <si>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</si>
  <si>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</si>
  <si>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</si>
  <si>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</si>
  <si>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</si>
  <si>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</si>
  <si>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</si>
  <si>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</si>
  <si>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</si>
  <si>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</si>
  <si>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</si>
  <si>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</si>
  <si>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</si>
  <si>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</si>
  <si>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</si>
  <si>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</si>
  <si>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</si>
  <si>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</si>
  <si>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</si>
  <si>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</si>
  <si>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</si>
  <si>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</si>
  <si>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</si>
  <si>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</si>
  <si>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</si>
  <si>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</si>
  <si>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</si>
  <si>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</si>
  <si>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</si>
  <si>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</si>
  <si>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</si>
  <si>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</si>
  <si>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</si>
  <si>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</si>
  <si>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</si>
  <si>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</si>
  <si>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</si>
  <si>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</si>
  <si>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</si>
  <si>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</si>
  <si>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</si>
  <si>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</si>
  <si>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</si>
  <si>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</si>
  <si>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</si>
  <si>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</si>
  <si>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</si>
  <si>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</si>
  <si>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</si>
  <si>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</si>
  <si>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</si>
  <si>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</si>
  <si>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</si>
  <si>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</si>
  <si>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</si>
  <si>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</si>
  <si>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</si>
  <si>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</si>
  <si>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</si>
  <si>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</si>
  <si>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</si>
  <si>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</si>
  <si>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</si>
  <si>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</si>
  <si>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</si>
  <si>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</si>
  <si>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</si>
  <si>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</si>
  <si>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</si>
  <si>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</si>
  <si>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</si>
  <si>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</si>
  <si>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</si>
  <si>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</si>
  <si>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</si>
  <si>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</si>
  <si>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</si>
  <si>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</si>
  <si>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</si>
  <si>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</si>
  <si>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</si>
  <si>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</si>
  <si>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</si>
  <si>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</si>
  <si>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</si>
  <si>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</si>
  <si>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</si>
  <si>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</si>
  <si>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</si>
  <si>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</si>
  <si>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</si>
  <si>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</si>
  <si>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</si>
  <si>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</si>
  <si>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</si>
  <si>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</si>
  <si>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</si>
  <si>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</si>
  <si>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</si>
  <si>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</si>
  <si>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</si>
  <si>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</si>
  <si>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</si>
  <si>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</si>
  <si>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</si>
  <si>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</si>
  <si>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</si>
  <si>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</si>
  <si>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</si>
  <si>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</si>
  <si>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</si>
  <si>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</si>
  <si>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</si>
  <si>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</si>
  <si>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</si>
  <si>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</si>
  <si>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</si>
  <si>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</si>
  <si>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</si>
  <si>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</si>
  <si>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</si>
  <si>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</si>
  <si>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</si>
  <si>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</si>
  <si>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</si>
  <si>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</si>
  <si>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</si>
  <si>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</si>
  <si>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</si>
  <si>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</si>
  <si>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</si>
  <si>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</si>
  <si>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</si>
  <si>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</si>
  <si>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</si>
  <si>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</si>
  <si>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</si>
  <si>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</si>
  <si>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</si>
  <si>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</si>
  <si>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</si>
  <si>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</si>
  <si>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</si>
  <si>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</si>
  <si>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</si>
  <si>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</si>
  <si>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</si>
  <si>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</si>
  <si>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</si>
  <si>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</si>
  <si>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</si>
  <si>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</si>
  <si>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</si>
  <si>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</si>
  <si>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</si>
  <si>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</si>
  <si>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</si>
  <si>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</si>
  <si>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</si>
  <si>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</si>
  <si>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</si>
  <si>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</si>
  <si>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</si>
  <si>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</si>
  <si>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</si>
  <si>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</si>
  <si>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</si>
  <si>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</si>
  <si>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</si>
  <si>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</si>
  <si>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</si>
  <si>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</si>
  <si>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</si>
  <si>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</si>
  <si>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</si>
  <si>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</si>
  <si>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</si>
  <si>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</si>
  <si>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</si>
  <si>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</si>
  <si>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</si>
  <si>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</si>
  <si>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</si>
  <si>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</si>
  <si>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</si>
  <si>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</si>
  <si>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</si>
  <si>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</si>
  <si>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</si>
  <si>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</si>
  <si>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</si>
  <si>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</si>
  <si>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</si>
  <si>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</si>
  <si>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</si>
  <si>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</si>
  <si>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</si>
  <si>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</si>
  <si>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</si>
  <si>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</si>
  <si>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</si>
  <si>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</si>
  <si>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</si>
  <si>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</si>
  <si>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</si>
  <si>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</si>
  <si>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</si>
  <si>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</si>
  <si>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</si>
  <si>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</si>
  <si>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</si>
  <si>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</si>
  <si>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</si>
  <si>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</si>
  <si>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</si>
  <si>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</si>
  <si>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</si>
  <si>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</si>
  <si>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</si>
  <si>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</si>
  <si>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</si>
  <si>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</si>
  <si>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</si>
  <si>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</si>
  <si>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</si>
  <si>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</si>
  <si>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</si>
  <si>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</si>
  <si>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</si>
  <si>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</si>
  <si>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</si>
  <si>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</si>
  <si>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</si>
  <si>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</si>
  <si>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</si>
  <si>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</si>
  <si>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</si>
  <si>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</si>
  <si>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</si>
  <si>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</si>
  <si>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</si>
  <si>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</si>
  <si>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</si>
  <si>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</si>
  <si>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</si>
  <si>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</si>
  <si>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</si>
  <si>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</si>
  <si>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</si>
  <si>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</si>
  <si>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</si>
  <si>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</si>
  <si>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</si>
  <si>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</si>
  <si>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</si>
  <si>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</si>
  <si>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</si>
  <si>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</si>
  <si>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</si>
  <si>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</si>
  <si>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</si>
  <si>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</si>
  <si>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</si>
  <si>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</si>
  <si>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</si>
  <si>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</si>
  <si>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</si>
  <si>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</si>
  <si>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</si>
  <si>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</si>
  <si>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</si>
  <si>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</si>
  <si>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</si>
  <si>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</si>
  <si>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</si>
  <si>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</si>
  <si>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</si>
  <si>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</si>
  <si>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</si>
  <si>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</si>
  <si>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</si>
  <si>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</si>
  <si>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</si>
  <si>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</si>
  <si>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</si>
  <si>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</si>
  <si>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</si>
  <si>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</si>
  <si>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</si>
  <si>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</si>
  <si>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</si>
  <si>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</si>
  <si>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</si>
  <si>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</si>
  <si>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</si>
  <si>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</si>
  <si>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</si>
  <si>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</si>
  <si>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</si>
  <si>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</si>
  <si>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</si>
  <si>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</si>
  <si>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</si>
  <si>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</si>
  <si>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</si>
  <si>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</si>
  <si>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</si>
  <si>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</si>
  <si>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</si>
  <si>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</si>
  <si>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</si>
  <si>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</si>
  <si>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</si>
  <si>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</si>
  <si>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</si>
  <si>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</si>
  <si>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</si>
  <si>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</si>
  <si>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</si>
  <si>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</si>
  <si>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</si>
  <si>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</si>
  <si>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</si>
  <si>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</si>
  <si>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</si>
  <si>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</si>
  <si>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</si>
  <si>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</si>
  <si>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</si>
  <si>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</si>
  <si>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</si>
  <si>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</si>
  <si>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</si>
  <si>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</si>
  <si>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</si>
  <si>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</si>
  <si>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</si>
  <si>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</si>
  <si>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</si>
  <si>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</si>
  <si>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</si>
  <si>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</si>
  <si>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</si>
  <si>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</si>
  <si>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</si>
  <si>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</si>
  <si>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</si>
  <si>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</si>
  <si>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</si>
  <si>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</si>
  <si>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</si>
  <si>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</si>
  <si>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</si>
  <si>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</si>
  <si>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</si>
  <si>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</si>
  <si>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</si>
  <si>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</si>
  <si>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</si>
  <si>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</si>
  <si>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</si>
  <si>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</si>
  <si>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</si>
  <si>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</si>
  <si>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</si>
  <si>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</si>
  <si>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</si>
  <si>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</si>
  <si>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</si>
  <si>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</si>
  <si>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</si>
  <si>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</si>
  <si>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</si>
  <si>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</si>
  <si>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</si>
  <si>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</si>
  <si>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</si>
  <si>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</si>
  <si>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</si>
  <si>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</si>
  <si>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</si>
  <si>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</si>
  <si>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</si>
  <si>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</si>
  <si>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</si>
  <si>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</si>
  <si>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</si>
  <si>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</si>
  <si>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</si>
  <si>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</si>
  <si>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</si>
  <si>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</si>
  <si>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</si>
  <si>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</si>
  <si>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</si>
  <si>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</si>
  <si>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</si>
  <si>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</si>
  <si>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</si>
  <si>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</si>
  <si>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</si>
  <si>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</si>
  <si>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</si>
  <si>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</si>
  <si>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</si>
  <si>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</si>
  <si>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</si>
  <si>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</si>
  <si>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</si>
  <si>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</si>
  <si>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</si>
  <si>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</si>
  <si>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</si>
  <si>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</si>
  <si>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</si>
  <si>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</si>
  <si>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</si>
  <si>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</si>
  <si>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</si>
  <si>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</si>
  <si>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</si>
  <si>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</si>
  <si>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</si>
  <si>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</si>
  <si>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</si>
  <si>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</si>
  <si>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</si>
  <si>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</si>
  <si>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</si>
  <si>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</si>
  <si>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</si>
  <si>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</si>
  <si>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</si>
  <si>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</si>
  <si>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</si>
  <si>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</si>
  <si>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</si>
  <si>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</si>
  <si>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</si>
  <si>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</si>
  <si>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</si>
  <si>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</si>
  <si>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</si>
  <si>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</si>
  <si>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</si>
  <si>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</si>
  <si>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</si>
  <si>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</si>
  <si>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</si>
  <si>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</si>
  <si>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</si>
  <si>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</si>
  <si>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</si>
  <si>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</si>
  <si>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</si>
  <si>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</si>
  <si>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</si>
  <si>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</si>
  <si>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</si>
  <si>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</si>
  <si>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</si>
  <si>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</si>
  <si>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</si>
  <si>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</si>
  <si>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</si>
  <si>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</si>
  <si>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</si>
  <si>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</si>
  <si>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</si>
  <si>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</si>
  <si>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</si>
  <si>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</si>
  <si>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</si>
  <si>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</si>
  <si>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</si>
  <si>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</si>
  <si>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</si>
  <si>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</si>
  <si>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</si>
  <si>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</si>
  <si>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</si>
  <si>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</si>
  <si>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</si>
  <si>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</si>
  <si>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</si>
  <si>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</si>
  <si>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</si>
  <si>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</si>
  <si>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</si>
  <si>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</si>
  <si>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</si>
  <si>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</si>
  <si>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</si>
  <si>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</si>
  <si>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</si>
  <si>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</si>
  <si>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</si>
  <si>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</si>
  <si>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</si>
  <si>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</si>
  <si>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</si>
  <si>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</si>
  <si>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</si>
  <si>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</si>
  <si>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</si>
  <si>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</si>
  <si>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</si>
  <si>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</si>
  <si>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</si>
  <si>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</si>
  <si>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</si>
  <si>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</si>
  <si>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</si>
  <si>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</si>
  <si>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</si>
  <si>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</si>
  <si>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</si>
  <si>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</si>
  <si>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</si>
  <si>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</si>
  <si>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</si>
  <si>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</si>
  <si>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</si>
  <si>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</si>
  <si>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</si>
  <si>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</si>
  <si>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</si>
  <si>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</si>
  <si>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</si>
  <si>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</si>
  <si>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</si>
  <si>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</si>
  <si>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</si>
  <si>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</si>
  <si>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</si>
  <si>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</si>
  <si>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</si>
  <si>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</si>
  <si>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</si>
  <si>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</si>
  <si>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</si>
  <si>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</si>
  <si>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</si>
  <si>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</si>
  <si>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</si>
  <si>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</si>
  <si>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</si>
  <si>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</si>
  <si>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</si>
  <si>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</si>
  <si>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</si>
  <si>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</si>
  <si>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</si>
  <si>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</si>
  <si>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</si>
  <si>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</si>
  <si>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</si>
  <si>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</si>
  <si>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</si>
  <si>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</si>
  <si>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</si>
  <si>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</si>
  <si>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</si>
  <si>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</si>
  <si>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</si>
  <si>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</si>
  <si>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</si>
  <si>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</si>
  <si>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</si>
  <si>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</si>
  <si>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</si>
  <si>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</si>
  <si>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</si>
  <si>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</si>
  <si>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</si>
  <si>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</si>
  <si>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</si>
  <si>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</si>
  <si>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</si>
  <si>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</si>
  <si>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</si>
  <si>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</si>
  <si>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</si>
  <si>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</si>
  <si>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ИНВЕСТОР.БГ АД</t>
  </si>
  <si>
    <t>130277328</t>
  </si>
  <si>
    <t>Виктория Емилова Миткова</t>
  </si>
  <si>
    <t>гр. София 1540, бул."Брюксел" №1</t>
  </si>
  <si>
    <t>Валентина Борисова Димитрова</t>
  </si>
  <si>
    <t>главен счетоводител</t>
  </si>
  <si>
    <t>+359 2 812 9 812</t>
  </si>
  <si>
    <t>+359 2 812 98 53</t>
  </si>
  <si>
    <t>office@investor.bg</t>
  </si>
  <si>
    <t>www.ibg.bg</t>
  </si>
  <si>
    <t>www.investor.bg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</si>
  <si>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</si>
  <si>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</si>
  <si>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</si>
  <si>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</si>
  <si>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5.Висше училище по застраховане и финанси АД</t>
  </si>
  <si>
    <t>6. "Боец.БГ" 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</si>
</sst>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1" fontId="49" fillId="28" borderId="54" xfId="66" applyNumberFormat="1" applyFont="1" applyFill="1" applyBorder="1" applyAlignment="1" applyProtection="1">
      <alignment vertical="top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7">
        <v>1</v>
      </c>
      <c r="AA1" s="698">
        <f>IF(ISBLANK(_endDate),"",_endDate)</f>
        <v>44561</v>
      </c>
    </row>
    <row r="2" spans="1:27" ht="15.75">
      <c r="A2" s="685" t="s">
        <v>963</v>
      </c>
      <c r="B2" s="680"/>
      <c r="Z2" s="697">
        <v>2</v>
      </c>
      <c r="AA2" s="698">
        <f>IF(ISBLANK(_pdeReportingDate),"",_pdeReportingDate)</f>
        <v>44644</v>
      </c>
    </row>
    <row r="3" spans="1:27" ht="15.75">
      <c r="A3" s="681" t="s">
        <v>961</v>
      </c>
      <c r="B3" s="682"/>
      <c r="Z3" s="697">
        <v>3</v>
      </c>
      <c r="AA3" s="698" t="str">
        <f>IF(ISBLANK(_authorName),"",_authorName)</f>
        <v>Валентина Борисова Димитрова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7" t="s">
        <v>997</v>
      </c>
    </row>
    <row r="24" spans="1:2" ht="15.75">
      <c r="A24" s="10" t="s">
        <v>918</v>
      </c>
      <c r="B24" s="688" t="s">
        <v>998</v>
      </c>
    </row>
    <row r="25" spans="1:2" ht="15.75">
      <c r="A25" s="7" t="s">
        <v>921</v>
      </c>
      <c r="B25" s="689" t="s">
        <v>999</v>
      </c>
    </row>
    <row r="26" spans="1:2" ht="15.75">
      <c r="A26" s="10" t="s">
        <v>968</v>
      </c>
      <c r="B26" s="579" t="s">
        <v>993</v>
      </c>
    </row>
    <row r="27" spans="1:2" ht="15.75">
      <c r="A27" s="10" t="s">
        <v>969</v>
      </c>
      <c r="B27" s="579" t="s">
        <v>994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31.12.2021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0" t="s">
        <v>938</v>
      </c>
      <c r="D5" s="671" t="s">
        <v>940</v>
      </c>
      <c r="E5" s="670" t="s">
        <v>939</v>
      </c>
      <c r="F5" s="670" t="s">
        <v>937</v>
      </c>
      <c r="G5" s="669" t="s">
        <v>935</v>
      </c>
    </row>
    <row r="6" spans="1:7" ht="18.75" customHeight="1">
      <c r="A6" s="674" t="s">
        <v>982</v>
      </c>
      <c r="B6" s="666" t="s">
        <v>945</v>
      </c>
      <c r="C6" s="672">
        <f>'1-Баланс'!C95</f>
        <v>46831</v>
      </c>
      <c r="D6" s="673">
        <f aca="true" t="shared" si="0" ref="D6:D15">C6-E6</f>
        <v>0</v>
      </c>
      <c r="E6" s="672">
        <f>'1-Баланс'!G95</f>
        <v>46831</v>
      </c>
      <c r="F6" s="667" t="s">
        <v>946</v>
      </c>
      <c r="G6" s="674" t="s">
        <v>982</v>
      </c>
    </row>
    <row r="7" spans="1:7" ht="18.75" customHeight="1">
      <c r="A7" s="674" t="s">
        <v>982</v>
      </c>
      <c r="B7" s="666" t="s">
        <v>944</v>
      </c>
      <c r="C7" s="672">
        <f>'1-Баланс'!G37</f>
        <v>40410</v>
      </c>
      <c r="D7" s="673">
        <f t="shared" si="0"/>
        <v>35628</v>
      </c>
      <c r="E7" s="672">
        <f>'1-Баланс'!G18</f>
        <v>4782</v>
      </c>
      <c r="F7" s="667" t="s">
        <v>455</v>
      </c>
      <c r="G7" s="674" t="s">
        <v>982</v>
      </c>
    </row>
    <row r="8" spans="1:7" ht="18.75" customHeight="1">
      <c r="A8" s="674" t="s">
        <v>982</v>
      </c>
      <c r="B8" s="666" t="s">
        <v>942</v>
      </c>
      <c r="C8" s="672">
        <f>ABS('1-Баланс'!G32)-ABS('1-Баланс'!G33)</f>
        <v>91</v>
      </c>
      <c r="D8" s="673">
        <f t="shared" si="0"/>
        <v>0</v>
      </c>
      <c r="E8" s="672">
        <f>ABS('2-Отчет за доходите'!C44)-ABS('2-Отчет за доходите'!G44)</f>
        <v>91</v>
      </c>
      <c r="F8" s="667" t="s">
        <v>943</v>
      </c>
      <c r="G8" s="675" t="s">
        <v>984</v>
      </c>
    </row>
    <row r="9" spans="1:7" ht="18.75" customHeight="1">
      <c r="A9" s="674" t="s">
        <v>982</v>
      </c>
      <c r="B9" s="666" t="s">
        <v>948</v>
      </c>
      <c r="C9" s="672">
        <f>'1-Баланс'!D92</f>
        <v>197</v>
      </c>
      <c r="D9" s="673">
        <f t="shared" si="0"/>
        <v>0</v>
      </c>
      <c r="E9" s="672">
        <f>'3-Отчет за паричния поток'!C45</f>
        <v>197</v>
      </c>
      <c r="F9" s="667" t="s">
        <v>947</v>
      </c>
      <c r="G9" s="675" t="s">
        <v>983</v>
      </c>
    </row>
    <row r="10" spans="1:7" ht="18.75" customHeight="1">
      <c r="A10" s="674" t="s">
        <v>982</v>
      </c>
      <c r="B10" s="666" t="s">
        <v>949</v>
      </c>
      <c r="C10" s="672">
        <f>'1-Баланс'!C92</f>
        <v>357</v>
      </c>
      <c r="D10" s="673">
        <f t="shared" si="0"/>
        <v>0</v>
      </c>
      <c r="E10" s="672">
        <f>'3-Отчет за паричния поток'!C46</f>
        <v>357</v>
      </c>
      <c r="F10" s="667" t="s">
        <v>950</v>
      </c>
      <c r="G10" s="675" t="s">
        <v>983</v>
      </c>
    </row>
    <row r="11" spans="1:7" ht="18.75" customHeight="1">
      <c r="A11" s="674" t="s">
        <v>982</v>
      </c>
      <c r="B11" s="666" t="s">
        <v>944</v>
      </c>
      <c r="C11" s="672">
        <f>'1-Баланс'!G37</f>
        <v>40410</v>
      </c>
      <c r="D11" s="673">
        <f t="shared" si="0"/>
        <v>0</v>
      </c>
      <c r="E11" s="672">
        <f>'4-Отчет за собствения капитал'!L34</f>
        <v>40410</v>
      </c>
      <c r="F11" s="667" t="s">
        <v>951</v>
      </c>
      <c r="G11" s="675" t="s">
        <v>985</v>
      </c>
    </row>
    <row r="12" spans="1:7" ht="18.75" customHeight="1">
      <c r="A12" s="674" t="s">
        <v>982</v>
      </c>
      <c r="B12" s="666" t="s">
        <v>952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956</v>
      </c>
      <c r="G12" s="675" t="s">
        <v>986</v>
      </c>
    </row>
    <row r="13" spans="1:7" ht="18.75" customHeight="1">
      <c r="A13" s="674" t="s">
        <v>982</v>
      </c>
      <c r="B13" s="666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957</v>
      </c>
      <c r="G13" s="675" t="s">
        <v>986</v>
      </c>
    </row>
    <row r="14" spans="1:7" ht="18.75" customHeight="1">
      <c r="A14" s="674" t="s">
        <v>982</v>
      </c>
      <c r="B14" s="666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958</v>
      </c>
      <c r="G14" s="675" t="s">
        <v>986</v>
      </c>
    </row>
    <row r="15" spans="1:7" ht="18.75" customHeight="1">
      <c r="A15" s="674" t="s">
        <v>982</v>
      </c>
      <c r="B15" s="666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959</v>
      </c>
      <c r="G15" s="675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0.010852713178294573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0.0022519178421182874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0.01417224731350257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0.0019431573103286285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1.0132438149544745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2.181877551020408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2.15934693877551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0.05828571428571429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0.05828571428571429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0.49771472665756517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0.17904806645170934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0.007271655284233283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0.1588963127938629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0.1371100339518695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156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0.003860430586488493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0.04556594354179904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12.790836653386455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156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95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459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710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5673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7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10349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16029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13023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13023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223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33467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10567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1853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65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356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12869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354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357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138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13364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46831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2031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896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35107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91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521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40410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136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160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296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4784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3009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769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88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540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162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216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195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4979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1134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12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6125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46831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93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2848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346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4202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702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2644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738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10850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23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10873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144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10873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144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53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105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-52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91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91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11017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8297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88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8385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1685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1682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907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947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11017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11017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11017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9039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-4208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-4315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-1348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-19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-874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-866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-1553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775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1000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1921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1279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-147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-79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-245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160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197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357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357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802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802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94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94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896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896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1095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1095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91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-94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-94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1092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1092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40319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40319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91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40410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40410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4097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107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1012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446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5662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5666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747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11962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18375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27519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36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245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281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7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606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613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894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9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24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8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41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2038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2038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2079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4133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98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988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683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5902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5673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747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10530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16950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26334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4133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98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988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683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5902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5673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747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10530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16950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26334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3920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868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131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5023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735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112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847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5870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57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49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93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202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5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139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144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346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9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24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33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70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70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103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3977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98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893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224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5192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740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181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921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6113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3977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98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893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224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5192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740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181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921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6113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156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95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459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710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5673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7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10349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16029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20221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13023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5506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7517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13023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223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10567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608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1757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8202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1853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65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356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356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12869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26115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10567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608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1757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8202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1853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65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356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356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12869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12869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13023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5506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7517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13023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223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13246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136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136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160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3009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399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2610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1775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769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88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540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216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86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96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34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162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195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4979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5275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3009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399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2610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1775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769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88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540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216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86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96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34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162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195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4979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4979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136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136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160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296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2" sqref="A1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156</v>
      </c>
      <c r="D14" s="197">
        <v>177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>
        <v>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95</v>
      </c>
      <c r="D17" s="197">
        <v>144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f>222+237</f>
        <v>459</v>
      </c>
      <c r="D19" s="197">
        <v>315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710</v>
      </c>
      <c r="D20" s="598">
        <f>SUM(D12:D19)</f>
        <v>639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7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2031</v>
      </c>
      <c r="H22" s="614">
        <f>SUM(H23:H25)</f>
        <v>1937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896</v>
      </c>
      <c r="H23" s="746">
        <v>802</v>
      </c>
    </row>
    <row r="24" spans="1:13" ht="15.75">
      <c r="A24" s="89" t="s">
        <v>67</v>
      </c>
      <c r="B24" s="91" t="s">
        <v>68</v>
      </c>
      <c r="C24" s="197">
        <v>5673</v>
      </c>
      <c r="D24" s="197">
        <v>5666</v>
      </c>
      <c r="E24" s="202" t="s">
        <v>69</v>
      </c>
      <c r="F24" s="93" t="s">
        <v>70</v>
      </c>
      <c r="G24" s="197"/>
      <c r="H24" s="746"/>
      <c r="M24" s="98"/>
    </row>
    <row r="25" spans="1:8" ht="15.75">
      <c r="A25" s="89" t="s">
        <v>71</v>
      </c>
      <c r="B25" s="91" t="s">
        <v>72</v>
      </c>
      <c r="C25" s="197">
        <v>7</v>
      </c>
      <c r="D25" s="197">
        <v>12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35107</v>
      </c>
      <c r="H26" s="598">
        <f>H20+H21+H22</f>
        <v>35013</v>
      </c>
      <c r="M26" s="98"/>
    </row>
    <row r="27" spans="1:8" ht="15.75">
      <c r="A27" s="89" t="s">
        <v>79</v>
      </c>
      <c r="B27" s="91" t="s">
        <v>80</v>
      </c>
      <c r="C27" s="197">
        <f>84+6286+3979</f>
        <v>10349</v>
      </c>
      <c r="D27" s="197">
        <v>11850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16029</v>
      </c>
      <c r="D28" s="598">
        <f>SUM(D24:D27)</f>
        <v>17528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91</v>
      </c>
      <c r="H32" s="197">
        <v>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521</v>
      </c>
      <c r="H34" s="598">
        <f>H28+H32+H33</f>
        <v>524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6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40410</v>
      </c>
      <c r="H37" s="600">
        <f>H26+H18+H34</f>
        <v>40319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13023</v>
      </c>
      <c r="D48" s="196">
        <v>11552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13023</v>
      </c>
      <c r="D52" s="598">
        <f>SUM(D48:D51)</f>
        <v>11552</v>
      </c>
      <c r="E52" s="201" t="s">
        <v>158</v>
      </c>
      <c r="F52" s="95" t="s">
        <v>159</v>
      </c>
      <c r="G52" s="197">
        <v>136</v>
      </c>
      <c r="H52" s="197">
        <v>233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160</v>
      </c>
      <c r="H54" s="197">
        <v>149</v>
      </c>
    </row>
    <row r="55" spans="1:8" ht="15.75">
      <c r="A55" s="100" t="s">
        <v>166</v>
      </c>
      <c r="B55" s="96" t="s">
        <v>167</v>
      </c>
      <c r="C55" s="478">
        <v>223</v>
      </c>
      <c r="D55" s="479">
        <v>160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33467</v>
      </c>
      <c r="D56" s="602">
        <f>D20+D21+D22+D28+D33+D46+D52+D54+D55</f>
        <v>33361</v>
      </c>
      <c r="E56" s="100" t="s">
        <v>850</v>
      </c>
      <c r="F56" s="99" t="s">
        <v>172</v>
      </c>
      <c r="G56" s="599">
        <f>G50+G52+G53+G54+G55</f>
        <v>296</v>
      </c>
      <c r="H56" s="600">
        <f>H50+H52+H53+H54+H55</f>
        <v>382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4784</v>
      </c>
      <c r="H61" s="596">
        <f>SUM(H62:H68)</f>
        <v>5719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3009</v>
      </c>
      <c r="H62" s="197">
        <v>3475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769</v>
      </c>
      <c r="H64" s="197">
        <v>1106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88</v>
      </c>
      <c r="H65" s="197">
        <v>84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314+219+7</f>
        <v>540</v>
      </c>
      <c r="H66" s="197">
        <f>745-249</f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162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10567</v>
      </c>
      <c r="D68" s="197">
        <v>10864</v>
      </c>
      <c r="E68" s="89" t="s">
        <v>212</v>
      </c>
      <c r="F68" s="93" t="s">
        <v>213</v>
      </c>
      <c r="G68" s="197">
        <f>130+86</f>
        <v>216</v>
      </c>
      <c r="H68" s="197">
        <v>310</v>
      </c>
    </row>
    <row r="69" spans="1:8" ht="15.75">
      <c r="A69" s="89" t="s">
        <v>210</v>
      </c>
      <c r="B69" s="91" t="s">
        <v>211</v>
      </c>
      <c r="C69" s="197">
        <v>1853</v>
      </c>
      <c r="D69" s="197">
        <v>1567</v>
      </c>
      <c r="E69" s="201" t="s">
        <v>79</v>
      </c>
      <c r="F69" s="93" t="s">
        <v>216</v>
      </c>
      <c r="G69" s="197">
        <v>195</v>
      </c>
      <c r="H69" s="197">
        <f>216+7</f>
        <v>223</v>
      </c>
    </row>
    <row r="70" spans="1:8" ht="15.75">
      <c r="A70" s="89" t="s">
        <v>214</v>
      </c>
      <c r="B70" s="91" t="s">
        <v>215</v>
      </c>
      <c r="C70" s="197">
        <v>65</v>
      </c>
      <c r="D70" s="197">
        <v>77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4979</v>
      </c>
      <c r="H71" s="598">
        <f>H59+H60+H61+H69+H70</f>
        <v>5942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137+2+212+5</f>
        <v>356</v>
      </c>
      <c r="D75" s="197">
        <f>2+473+8+387</f>
        <v>870</v>
      </c>
      <c r="E75" s="485" t="s">
        <v>160</v>
      </c>
      <c r="F75" s="95" t="s">
        <v>233</v>
      </c>
      <c r="G75" s="478">
        <v>1134</v>
      </c>
      <c r="H75" s="479">
        <v>742</v>
      </c>
    </row>
    <row r="76" spans="1:8" ht="15.75">
      <c r="A76" s="482" t="s">
        <v>77</v>
      </c>
      <c r="B76" s="96" t="s">
        <v>232</v>
      </c>
      <c r="C76" s="597">
        <f>SUM(C68:C75)</f>
        <v>12869</v>
      </c>
      <c r="D76" s="598">
        <f>SUM(D68:D75)</f>
        <v>13407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12</v>
      </c>
      <c r="H77" s="479">
        <v>14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6125</v>
      </c>
      <c r="H79" s="600">
        <f>H71+H73+H75+H77</f>
        <v>6698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7">
        <v>34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354</v>
      </c>
      <c r="D89" s="197">
        <v>163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357</v>
      </c>
      <c r="D92" s="598">
        <f>SUM(D88:D91)</f>
        <v>197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138</v>
      </c>
      <c r="D93" s="479">
        <v>434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13364</v>
      </c>
      <c r="D94" s="602">
        <f>D65+D76+D85+D92+D93</f>
        <v>14038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46831</v>
      </c>
      <c r="D95" s="604">
        <f>D94+D56</f>
        <v>47399</v>
      </c>
      <c r="E95" s="229" t="s">
        <v>941</v>
      </c>
      <c r="F95" s="489" t="s">
        <v>268</v>
      </c>
      <c r="G95" s="603">
        <f>G37+G40+G56+G79</f>
        <v>46831</v>
      </c>
      <c r="H95" s="604">
        <f>H37+H40+H56+H79</f>
        <v>47399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975</v>
      </c>
      <c r="B98" s="706">
        <f>pdeReportingDate</f>
        <v>44644</v>
      </c>
      <c r="C98" s="706"/>
      <c r="D98" s="706"/>
      <c r="E98" s="706"/>
      <c r="F98" s="706"/>
      <c r="G98" s="706"/>
      <c r="H98" s="706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7" t="str">
        <f>authorName</f>
        <v>Валентина Борисова Димитрова</v>
      </c>
      <c r="C100" s="707"/>
      <c r="D100" s="707"/>
      <c r="E100" s="707"/>
      <c r="F100" s="707"/>
      <c r="G100" s="707"/>
      <c r="H100" s="707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4"/>
      <c r="B103" s="705" t="s">
        <v>977</v>
      </c>
      <c r="C103" s="705"/>
      <c r="D103" s="705"/>
      <c r="E103" s="705"/>
      <c r="M103" s="98"/>
    </row>
    <row r="104" spans="1:5" ht="21.75" customHeight="1">
      <c r="A104" s="694"/>
      <c r="B104" s="705" t="s">
        <v>977</v>
      </c>
      <c r="C104" s="705"/>
      <c r="D104" s="705"/>
      <c r="E104" s="705"/>
    </row>
    <row r="105" spans="1:13" ht="21.75" customHeight="1">
      <c r="A105" s="694"/>
      <c r="B105" s="705" t="s">
        <v>977</v>
      </c>
      <c r="C105" s="705"/>
      <c r="D105" s="705"/>
      <c r="E105" s="705"/>
      <c r="M105" s="98"/>
    </row>
    <row r="106" spans="1:5" ht="21.75" customHeight="1">
      <c r="A106" s="694"/>
      <c r="B106" s="705" t="s">
        <v>977</v>
      </c>
      <c r="C106" s="705"/>
      <c r="D106" s="705"/>
      <c r="E106" s="705"/>
    </row>
    <row r="107" spans="1:13" ht="21.75" customHeight="1">
      <c r="A107" s="694"/>
      <c r="B107" s="705"/>
      <c r="C107" s="705"/>
      <c r="D107" s="705"/>
      <c r="E107" s="705"/>
      <c r="M107" s="98"/>
    </row>
    <row r="108" spans="1:5" ht="21.75" customHeight="1">
      <c r="A108" s="694"/>
      <c r="B108" s="705"/>
      <c r="C108" s="705"/>
      <c r="D108" s="705"/>
      <c r="E108" s="705"/>
    </row>
    <row r="109" spans="1:13" ht="21.75" customHeight="1">
      <c r="A109" s="694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19" sqref="E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93</v>
      </c>
      <c r="D12" s="316">
        <v>99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2848</v>
      </c>
      <c r="D13" s="316">
        <v>2761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346</v>
      </c>
      <c r="D14" s="316">
        <v>363</v>
      </c>
      <c r="E14" s="245" t="s">
        <v>285</v>
      </c>
      <c r="F14" s="240" t="s">
        <v>286</v>
      </c>
      <c r="G14" s="316">
        <v>8297</v>
      </c>
      <c r="H14" s="316">
        <v>7845</v>
      </c>
    </row>
    <row r="15" spans="1:8" ht="15.75">
      <c r="A15" s="194" t="s">
        <v>287</v>
      </c>
      <c r="B15" s="190" t="s">
        <v>288</v>
      </c>
      <c r="C15" s="316">
        <f>4171+31</f>
        <v>4202</v>
      </c>
      <c r="D15" s="316">
        <f>4319+33</f>
        <v>4352</v>
      </c>
      <c r="E15" s="245" t="s">
        <v>79</v>
      </c>
      <c r="F15" s="240" t="s">
        <v>289</v>
      </c>
      <c r="G15" s="316">
        <f>17+14+57</f>
        <v>88</v>
      </c>
      <c r="H15" s="316">
        <f>1610-1409</f>
        <v>201</v>
      </c>
    </row>
    <row r="16" spans="1:8" ht="15.75">
      <c r="A16" s="194" t="s">
        <v>290</v>
      </c>
      <c r="B16" s="190" t="s">
        <v>291</v>
      </c>
      <c r="C16" s="316">
        <v>702</v>
      </c>
      <c r="D16" s="316">
        <v>741</v>
      </c>
      <c r="E16" s="236" t="s">
        <v>52</v>
      </c>
      <c r="F16" s="264" t="s">
        <v>292</v>
      </c>
      <c r="G16" s="628">
        <f>SUM(G12:G15)</f>
        <v>8385</v>
      </c>
      <c r="H16" s="629">
        <f>SUM(H12:H15)</f>
        <v>8046</v>
      </c>
    </row>
    <row r="17" spans="1:8" ht="31.5">
      <c r="A17" s="194" t="s">
        <v>293</v>
      </c>
      <c r="B17" s="190" t="s">
        <v>294</v>
      </c>
      <c r="C17" s="316">
        <v>15</v>
      </c>
      <c r="D17" s="316">
        <v>30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1685</v>
      </c>
      <c r="H18" s="639">
        <v>1418</v>
      </c>
    </row>
    <row r="19" spans="1:8" ht="15.75">
      <c r="A19" s="194" t="s">
        <v>299</v>
      </c>
      <c r="B19" s="190" t="s">
        <v>300</v>
      </c>
      <c r="C19" s="316">
        <f>901+1743</f>
        <v>2644</v>
      </c>
      <c r="D19" s="316">
        <f>688-30</f>
        <v>658</v>
      </c>
      <c r="E19" s="194" t="s">
        <v>301</v>
      </c>
      <c r="F19" s="237" t="s">
        <v>302</v>
      </c>
      <c r="G19" s="316">
        <v>1682</v>
      </c>
      <c r="H19" s="316">
        <v>1366</v>
      </c>
    </row>
    <row r="20" spans="1:8" ht="15.75">
      <c r="A20" s="235" t="s">
        <v>303</v>
      </c>
      <c r="B20" s="190" t="s">
        <v>304</v>
      </c>
      <c r="C20" s="316">
        <v>738</v>
      </c>
      <c r="D20" s="316">
        <v>737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10850</v>
      </c>
      <c r="D22" s="629">
        <f>SUM(D12:D18)+D19</f>
        <v>9004</v>
      </c>
      <c r="E22" s="194" t="s">
        <v>309</v>
      </c>
      <c r="F22" s="237" t="s">
        <v>310</v>
      </c>
      <c r="G22" s="316">
        <v>907</v>
      </c>
      <c r="H22" s="317">
        <v>864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15</v>
      </c>
    </row>
    <row r="25" spans="1:8" ht="31.5">
      <c r="A25" s="194" t="s">
        <v>316</v>
      </c>
      <c r="B25" s="237" t="s">
        <v>317</v>
      </c>
      <c r="C25" s="316">
        <f>8+4</f>
        <v>12</v>
      </c>
      <c r="D25" s="316">
        <v>18</v>
      </c>
      <c r="E25" s="194" t="s">
        <v>318</v>
      </c>
      <c r="F25" s="237" t="s">
        <v>319</v>
      </c>
      <c r="G25" s="316"/>
      <c r="H25" s="316">
        <v>3</v>
      </c>
    </row>
    <row r="26" spans="1:8" ht="31.5">
      <c r="A26" s="194" t="s">
        <v>320</v>
      </c>
      <c r="B26" s="237" t="s">
        <v>321</v>
      </c>
      <c r="C26" s="316"/>
      <c r="D26" s="316">
        <v>1186</v>
      </c>
      <c r="E26" s="194" t="s">
        <v>322</v>
      </c>
      <c r="F26" s="237" t="s">
        <v>323</v>
      </c>
      <c r="G26" s="316">
        <v>40</v>
      </c>
      <c r="H26" s="316">
        <v>20</v>
      </c>
    </row>
    <row r="27" spans="1:8" ht="31.5">
      <c r="A27" s="194" t="s">
        <v>324</v>
      </c>
      <c r="B27" s="237" t="s">
        <v>325</v>
      </c>
      <c r="C27" s="316">
        <v>2</v>
      </c>
      <c r="D27" s="316">
        <v>1</v>
      </c>
      <c r="E27" s="236" t="s">
        <v>104</v>
      </c>
      <c r="F27" s="238" t="s">
        <v>326</v>
      </c>
      <c r="G27" s="628">
        <f>SUM(G22:G26)</f>
        <v>947</v>
      </c>
      <c r="H27" s="629">
        <f>SUM(H22:H26)</f>
        <v>902</v>
      </c>
    </row>
    <row r="28" spans="1:8" ht="15.75">
      <c r="A28" s="194" t="s">
        <v>79</v>
      </c>
      <c r="B28" s="237" t="s">
        <v>327</v>
      </c>
      <c r="C28" s="316">
        <v>9</v>
      </c>
      <c r="D28" s="316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23</v>
      </c>
      <c r="D29" s="629">
        <f>SUM(D25:D28)</f>
        <v>1213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10873</v>
      </c>
      <c r="D31" s="635">
        <f>D29+D22</f>
        <v>10217</v>
      </c>
      <c r="E31" s="251" t="s">
        <v>824</v>
      </c>
      <c r="F31" s="266" t="s">
        <v>331</v>
      </c>
      <c r="G31" s="253">
        <f>G16+G18+G27</f>
        <v>11017</v>
      </c>
      <c r="H31" s="254">
        <f>H16+H18+H27</f>
        <v>10366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144</v>
      </c>
      <c r="D33" s="244">
        <f>IF((H31-D31)&gt;0,H31-D31,0)</f>
        <v>149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10873</v>
      </c>
      <c r="D36" s="637">
        <f>D31-D34+D35</f>
        <v>10217</v>
      </c>
      <c r="E36" s="262" t="s">
        <v>346</v>
      </c>
      <c r="F36" s="256" t="s">
        <v>347</v>
      </c>
      <c r="G36" s="267">
        <f>G35-G34+G31</f>
        <v>11017</v>
      </c>
      <c r="H36" s="268">
        <f>H35-H34+H31</f>
        <v>10366</v>
      </c>
    </row>
    <row r="37" spans="1:8" ht="15.75">
      <c r="A37" s="261" t="s">
        <v>348</v>
      </c>
      <c r="B37" s="231" t="s">
        <v>349</v>
      </c>
      <c r="C37" s="634">
        <f>IF((G36-C36)&gt;0,G36-C36,0)</f>
        <v>144</v>
      </c>
      <c r="D37" s="635">
        <f>IF((H36-D36)&gt;0,H36-D36,0)</f>
        <v>149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53</v>
      </c>
      <c r="D38" s="629">
        <f>D39+D40+D41</f>
        <v>55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105</v>
      </c>
      <c r="D39" s="317">
        <v>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-52</v>
      </c>
      <c r="D40" s="317">
        <v>48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91</v>
      </c>
      <c r="D42" s="244">
        <f>+IF((H36-D36-D38)&gt;0,H36-D36-D38,0)</f>
        <v>94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91</v>
      </c>
      <c r="D44" s="268">
        <f>IF(H42=0,IF(D42-D43&gt;0,D42-D43+H43,0),IF(H42-H43&lt;0,H43-H42+D42,0))</f>
        <v>94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11017</v>
      </c>
      <c r="D45" s="631">
        <f>D36+D38+D42</f>
        <v>10366</v>
      </c>
      <c r="E45" s="270" t="s">
        <v>373</v>
      </c>
      <c r="F45" s="272" t="s">
        <v>374</v>
      </c>
      <c r="G45" s="630">
        <f>G42+G36</f>
        <v>11017</v>
      </c>
      <c r="H45" s="631">
        <f>H42+H36</f>
        <v>10366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975</v>
      </c>
      <c r="B50" s="706">
        <f>pdeReportingDate</f>
        <v>44644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7" t="str">
        <f>authorName</f>
        <v>Валентина Борисова Димитрова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4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4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4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4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4"/>
      <c r="B59" s="705"/>
      <c r="C59" s="705"/>
      <c r="D59" s="705"/>
      <c r="E59" s="705"/>
      <c r="F59" s="574"/>
      <c r="G59" s="45"/>
      <c r="H59" s="42"/>
    </row>
    <row r="60" spans="1:8" ht="15.75">
      <c r="A60" s="694"/>
      <c r="B60" s="705"/>
      <c r="C60" s="705"/>
      <c r="D60" s="705"/>
      <c r="E60" s="705"/>
      <c r="F60" s="574"/>
      <c r="G60" s="45"/>
      <c r="H60" s="42"/>
    </row>
    <row r="61" spans="1:8" ht="15.75">
      <c r="A61" s="694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9039</v>
      </c>
      <c r="D11" s="197">
        <v>9561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-4208</v>
      </c>
      <c r="D12" s="197">
        <v>-3896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-4315</v>
      </c>
      <c r="D14" s="197">
        <v>-4714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-1348</v>
      </c>
      <c r="D15" s="197">
        <v>-1466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-19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-23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-874</v>
      </c>
      <c r="D21" s="658">
        <f>SUM(D11:D20)</f>
        <v>-520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-275-591</f>
        <v>-866</v>
      </c>
      <c r="D23" s="197">
        <f>-40-492</f>
        <v>-532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</v>
      </c>
      <c r="D24" s="197">
        <v>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-1553</v>
      </c>
      <c r="D25" s="197">
        <v>-947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775</v>
      </c>
      <c r="D26" s="197">
        <v>1156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1000</v>
      </c>
      <c r="D29" s="197">
        <v>25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1921</v>
      </c>
      <c r="D32" s="197">
        <v>1029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1279</v>
      </c>
      <c r="D33" s="658">
        <f>SUM(D23:D32)</f>
        <v>735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-147</v>
      </c>
      <c r="D38" s="197">
        <v>-154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-19</v>
      </c>
      <c r="D40" s="197">
        <v>-8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-79</v>
      </c>
      <c r="D42" s="197">
        <v>-57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-245</v>
      </c>
      <c r="D43" s="660">
        <f>SUM(D35:D42)</f>
        <v>-219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160</v>
      </c>
      <c r="D44" s="307">
        <f>D43+D33+D21</f>
        <v>-4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197</v>
      </c>
      <c r="D45" s="309">
        <v>201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357</v>
      </c>
      <c r="D46" s="311">
        <f>D45+D44</f>
        <v>197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357</v>
      </c>
      <c r="D47" s="298">
        <v>197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975</v>
      </c>
      <c r="B54" s="706">
        <f>pdeReportingDate</f>
        <v>44644</v>
      </c>
      <c r="C54" s="706"/>
      <c r="D54" s="706"/>
      <c r="E54" s="706"/>
      <c r="F54" s="695"/>
      <c r="G54" s="695"/>
      <c r="H54" s="695"/>
      <c r="M54" s="98"/>
    </row>
    <row r="55" spans="1:13" s="42" customFormat="1" ht="15.75">
      <c r="A55" s="692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3" t="s">
        <v>8</v>
      </c>
      <c r="B56" s="707" t="str">
        <f>authorName</f>
        <v>Валентина Борисова Димитрова</v>
      </c>
      <c r="C56" s="707"/>
      <c r="D56" s="707"/>
      <c r="E56" s="707"/>
      <c r="F56" s="80"/>
      <c r="G56" s="80"/>
      <c r="H56" s="80"/>
    </row>
    <row r="57" spans="1:8" s="42" customFormat="1" ht="15.75">
      <c r="A57" s="693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3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4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4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4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4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4"/>
      <c r="B63" s="705"/>
      <c r="C63" s="705"/>
      <c r="D63" s="705"/>
      <c r="E63" s="705"/>
      <c r="F63" s="574"/>
      <c r="G63" s="45"/>
      <c r="H63" s="42"/>
    </row>
    <row r="64" spans="1:8" ht="15.75">
      <c r="A64" s="694"/>
      <c r="B64" s="705"/>
      <c r="C64" s="705"/>
      <c r="D64" s="705"/>
      <c r="E64" s="705"/>
      <c r="F64" s="574"/>
      <c r="G64" s="45"/>
      <c r="H64" s="42"/>
    </row>
    <row r="65" spans="1:8" ht="15.75">
      <c r="A65" s="694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69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802</v>
      </c>
      <c r="G13" s="584">
        <f>'1-Баланс'!H24</f>
        <v>0</v>
      </c>
      <c r="H13" s="585">
        <v>1135</v>
      </c>
      <c r="I13" s="584">
        <f>'1-Баланс'!H29+'1-Баланс'!H32</f>
        <v>1095</v>
      </c>
      <c r="J13" s="584">
        <f>'1-Баланс'!H30+'1-Баланс'!H33</f>
        <v>-571</v>
      </c>
      <c r="K13" s="585"/>
      <c r="L13" s="584">
        <f>SUM(C13:K13)</f>
        <v>40319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802</v>
      </c>
      <c r="G17" s="652">
        <f t="shared" si="2"/>
        <v>0</v>
      </c>
      <c r="H17" s="652">
        <f t="shared" si="2"/>
        <v>1135</v>
      </c>
      <c r="I17" s="652">
        <f t="shared" si="2"/>
        <v>1095</v>
      </c>
      <c r="J17" s="652">
        <f t="shared" si="2"/>
        <v>-571</v>
      </c>
      <c r="K17" s="652">
        <f t="shared" si="2"/>
        <v>0</v>
      </c>
      <c r="L17" s="584">
        <f t="shared" si="1"/>
        <v>40319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91</v>
      </c>
      <c r="J18" s="584">
        <f>+'1-Баланс'!G33</f>
        <v>0</v>
      </c>
      <c r="K18" s="585"/>
      <c r="L18" s="584">
        <f t="shared" si="1"/>
        <v>91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94</v>
      </c>
      <c r="G19" s="168">
        <f t="shared" si="3"/>
        <v>0</v>
      </c>
      <c r="H19" s="168">
        <f t="shared" si="3"/>
        <v>0</v>
      </c>
      <c r="I19" s="168">
        <f t="shared" si="3"/>
        <v>-94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94</v>
      </c>
      <c r="G21" s="316"/>
      <c r="H21" s="316"/>
      <c r="I21" s="316">
        <v>-94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896</v>
      </c>
      <c r="G31" s="652">
        <f t="shared" si="6"/>
        <v>0</v>
      </c>
      <c r="H31" s="652">
        <f t="shared" si="6"/>
        <v>1135</v>
      </c>
      <c r="I31" s="652">
        <f t="shared" si="6"/>
        <v>1092</v>
      </c>
      <c r="J31" s="652">
        <f t="shared" si="6"/>
        <v>-571</v>
      </c>
      <c r="K31" s="652">
        <f t="shared" si="6"/>
        <v>0</v>
      </c>
      <c r="L31" s="584">
        <f t="shared" si="1"/>
        <v>40410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896</v>
      </c>
      <c r="G34" s="587">
        <f t="shared" si="7"/>
        <v>0</v>
      </c>
      <c r="H34" s="587">
        <f t="shared" si="7"/>
        <v>1135</v>
      </c>
      <c r="I34" s="587">
        <f t="shared" si="7"/>
        <v>1092</v>
      </c>
      <c r="J34" s="587">
        <f t="shared" si="7"/>
        <v>-571</v>
      </c>
      <c r="K34" s="587">
        <f t="shared" si="7"/>
        <v>0</v>
      </c>
      <c r="L34" s="650">
        <f t="shared" si="1"/>
        <v>40410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975</v>
      </c>
      <c r="B38" s="706">
        <f>pdeReportingDate</f>
        <v>44644</v>
      </c>
      <c r="C38" s="706"/>
      <c r="D38" s="706"/>
      <c r="E38" s="706"/>
      <c r="F38" s="706"/>
      <c r="G38" s="706"/>
      <c r="H38" s="706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7" t="str">
        <f>authorName</f>
        <v>Валентина Борисова Димитрова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4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4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4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4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4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4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4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23" sqref="B2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1000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1001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1002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1003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1005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975</v>
      </c>
      <c r="B151" s="706">
        <f>pdeReportingDate</f>
        <v>44644</v>
      </c>
      <c r="C151" s="706"/>
      <c r="D151" s="706"/>
      <c r="E151" s="706"/>
      <c r="F151" s="706"/>
      <c r="G151" s="706"/>
      <c r="H151" s="706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7" t="str">
        <f>authorName</f>
        <v>Валентина Борисова Димитрова</v>
      </c>
      <c r="C153" s="707"/>
      <c r="D153" s="707"/>
      <c r="E153" s="707"/>
      <c r="F153" s="707"/>
      <c r="G153" s="707"/>
      <c r="H153" s="707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4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4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4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4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4"/>
      <c r="B160" s="705"/>
      <c r="C160" s="705"/>
      <c r="D160" s="705"/>
      <c r="E160" s="705"/>
      <c r="F160" s="574"/>
      <c r="G160" s="45"/>
      <c r="H160" s="42"/>
    </row>
    <row r="161" spans="1:8" ht="15.75">
      <c r="A161" s="694"/>
      <c r="B161" s="705"/>
      <c r="C161" s="705"/>
      <c r="D161" s="705"/>
      <c r="E161" s="705"/>
      <c r="F161" s="574"/>
      <c r="G161" s="45"/>
      <c r="H161" s="42"/>
    </row>
    <row r="162" spans="1:8" ht="15.75">
      <c r="A162" s="694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E20" sqref="E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1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4097</v>
      </c>
      <c r="E13" s="328">
        <v>36</v>
      </c>
      <c r="F13" s="328"/>
      <c r="G13" s="329">
        <f t="shared" si="2"/>
        <v>4133</v>
      </c>
      <c r="H13" s="328"/>
      <c r="I13" s="328"/>
      <c r="J13" s="329">
        <f t="shared" si="3"/>
        <v>4133</v>
      </c>
      <c r="K13" s="328">
        <v>3920</v>
      </c>
      <c r="L13" s="328">
        <v>57</v>
      </c>
      <c r="M13" s="328"/>
      <c r="N13" s="329">
        <f t="shared" si="4"/>
        <v>3977</v>
      </c>
      <c r="O13" s="328"/>
      <c r="P13" s="328"/>
      <c r="Q13" s="329">
        <f t="shared" si="0"/>
        <v>3977</v>
      </c>
      <c r="R13" s="340">
        <f t="shared" si="1"/>
        <v>156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107</v>
      </c>
      <c r="E15" s="328"/>
      <c r="F15" s="328">
        <v>9</v>
      </c>
      <c r="G15" s="329">
        <f t="shared" si="2"/>
        <v>98</v>
      </c>
      <c r="H15" s="328"/>
      <c r="I15" s="328"/>
      <c r="J15" s="329">
        <f t="shared" si="3"/>
        <v>98</v>
      </c>
      <c r="K15" s="328">
        <v>104</v>
      </c>
      <c r="L15" s="328">
        <v>3</v>
      </c>
      <c r="M15" s="328">
        <v>9</v>
      </c>
      <c r="N15" s="329">
        <f t="shared" si="4"/>
        <v>98</v>
      </c>
      <c r="O15" s="328"/>
      <c r="P15" s="328"/>
      <c r="Q15" s="329">
        <f t="shared" si="0"/>
        <v>98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1012</v>
      </c>
      <c r="E16" s="328"/>
      <c r="F16" s="328">
        <v>24</v>
      </c>
      <c r="G16" s="329">
        <f t="shared" si="2"/>
        <v>988</v>
      </c>
      <c r="H16" s="328"/>
      <c r="I16" s="328"/>
      <c r="J16" s="329">
        <f t="shared" si="3"/>
        <v>988</v>
      </c>
      <c r="K16" s="328">
        <v>868</v>
      </c>
      <c r="L16" s="328">
        <v>49</v>
      </c>
      <c r="M16" s="328">
        <v>24</v>
      </c>
      <c r="N16" s="329">
        <f t="shared" si="4"/>
        <v>893</v>
      </c>
      <c r="O16" s="328"/>
      <c r="P16" s="328"/>
      <c r="Q16" s="329">
        <f t="shared" si="0"/>
        <v>893</v>
      </c>
      <c r="R16" s="340">
        <f t="shared" si="1"/>
        <v>95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446</v>
      </c>
      <c r="E18" s="328">
        <v>245</v>
      </c>
      <c r="F18" s="328">
        <v>8</v>
      </c>
      <c r="G18" s="329">
        <f t="shared" si="2"/>
        <v>683</v>
      </c>
      <c r="H18" s="328"/>
      <c r="I18" s="328"/>
      <c r="J18" s="329">
        <f t="shared" si="3"/>
        <v>683</v>
      </c>
      <c r="K18" s="328">
        <v>131</v>
      </c>
      <c r="L18" s="328">
        <v>93</v>
      </c>
      <c r="M18" s="328"/>
      <c r="N18" s="329">
        <f t="shared" si="4"/>
        <v>224</v>
      </c>
      <c r="O18" s="328"/>
      <c r="P18" s="328"/>
      <c r="Q18" s="329">
        <f t="shared" si="0"/>
        <v>224</v>
      </c>
      <c r="R18" s="340">
        <f t="shared" si="1"/>
        <v>459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5662</v>
      </c>
      <c r="E19" s="330">
        <f>SUM(E11:E18)</f>
        <v>281</v>
      </c>
      <c r="F19" s="330">
        <f>SUM(F11:F18)</f>
        <v>41</v>
      </c>
      <c r="G19" s="329">
        <f t="shared" si="2"/>
        <v>5902</v>
      </c>
      <c r="H19" s="330">
        <f>SUM(H11:H18)</f>
        <v>0</v>
      </c>
      <c r="I19" s="330">
        <f>SUM(I11:I18)</f>
        <v>0</v>
      </c>
      <c r="J19" s="329">
        <f t="shared" si="3"/>
        <v>5902</v>
      </c>
      <c r="K19" s="330">
        <f>SUM(K11:K18)</f>
        <v>5023</v>
      </c>
      <c r="L19" s="330">
        <f>SUM(L11:L18)</f>
        <v>202</v>
      </c>
      <c r="M19" s="330">
        <f>SUM(M11:M18)</f>
        <v>33</v>
      </c>
      <c r="N19" s="329">
        <f t="shared" si="4"/>
        <v>5192</v>
      </c>
      <c r="O19" s="330">
        <f>SUM(O11:O18)</f>
        <v>0</v>
      </c>
      <c r="P19" s="330">
        <f>SUM(P11:P18)</f>
        <v>0</v>
      </c>
      <c r="Q19" s="329">
        <f t="shared" si="0"/>
        <v>5192</v>
      </c>
      <c r="R19" s="340">
        <f t="shared" si="1"/>
        <v>710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5666</v>
      </c>
      <c r="E24" s="328">
        <v>7</v>
      </c>
      <c r="F24" s="328"/>
      <c r="G24" s="329">
        <f t="shared" si="2"/>
        <v>5673</v>
      </c>
      <c r="H24" s="328"/>
      <c r="I24" s="328"/>
      <c r="J24" s="329">
        <f t="shared" si="3"/>
        <v>5673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5673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747</v>
      </c>
      <c r="E25" s="328"/>
      <c r="F25" s="328"/>
      <c r="G25" s="329">
        <f t="shared" si="2"/>
        <v>747</v>
      </c>
      <c r="H25" s="328"/>
      <c r="I25" s="328"/>
      <c r="J25" s="329">
        <f t="shared" si="3"/>
        <v>747</v>
      </c>
      <c r="K25" s="328">
        <v>735</v>
      </c>
      <c r="L25" s="328">
        <v>5</v>
      </c>
      <c r="M25" s="328"/>
      <c r="N25" s="329">
        <f t="shared" si="4"/>
        <v>740</v>
      </c>
      <c r="O25" s="328"/>
      <c r="P25" s="328"/>
      <c r="Q25" s="329">
        <f t="shared" si="0"/>
        <v>740</v>
      </c>
      <c r="R25" s="340">
        <f t="shared" si="1"/>
        <v>7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11962</v>
      </c>
      <c r="E27" s="328">
        <f>590+16</f>
        <v>606</v>
      </c>
      <c r="F27" s="328">
        <f>2034+4</f>
        <v>2038</v>
      </c>
      <c r="G27" s="329">
        <f t="shared" si="2"/>
        <v>10530</v>
      </c>
      <c r="H27" s="328"/>
      <c r="I27" s="328"/>
      <c r="J27" s="329">
        <f t="shared" si="3"/>
        <v>10530</v>
      </c>
      <c r="K27" s="328">
        <v>112</v>
      </c>
      <c r="L27" s="328">
        <v>139</v>
      </c>
      <c r="M27" s="328">
        <v>70</v>
      </c>
      <c r="N27" s="329">
        <f t="shared" si="4"/>
        <v>181</v>
      </c>
      <c r="O27" s="328"/>
      <c r="P27" s="328"/>
      <c r="Q27" s="329">
        <f t="shared" si="0"/>
        <v>181</v>
      </c>
      <c r="R27" s="340">
        <f t="shared" si="1"/>
        <v>10349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18375</v>
      </c>
      <c r="E28" s="332">
        <f aca="true" t="shared" si="5" ref="E28:P28">SUM(E24:E27)</f>
        <v>613</v>
      </c>
      <c r="F28" s="332">
        <f t="shared" si="5"/>
        <v>2038</v>
      </c>
      <c r="G28" s="333">
        <f t="shared" si="2"/>
        <v>16950</v>
      </c>
      <c r="H28" s="332">
        <f t="shared" si="5"/>
        <v>0</v>
      </c>
      <c r="I28" s="332">
        <f t="shared" si="5"/>
        <v>0</v>
      </c>
      <c r="J28" s="333">
        <f t="shared" si="3"/>
        <v>16950</v>
      </c>
      <c r="K28" s="332">
        <f t="shared" si="5"/>
        <v>847</v>
      </c>
      <c r="L28" s="332">
        <f t="shared" si="5"/>
        <v>144</v>
      </c>
      <c r="M28" s="332">
        <f t="shared" si="5"/>
        <v>70</v>
      </c>
      <c r="N28" s="333">
        <f t="shared" si="4"/>
        <v>921</v>
      </c>
      <c r="O28" s="332">
        <f t="shared" si="5"/>
        <v>0</v>
      </c>
      <c r="P28" s="332">
        <f t="shared" si="5"/>
        <v>0</v>
      </c>
      <c r="Q28" s="333">
        <f t="shared" si="0"/>
        <v>921</v>
      </c>
      <c r="R28" s="343">
        <f t="shared" si="1"/>
        <v>16029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3374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3374</v>
      </c>
      <c r="H30" s="335">
        <f t="shared" si="6"/>
        <v>0</v>
      </c>
      <c r="I30" s="335">
        <f t="shared" si="6"/>
        <v>0</v>
      </c>
      <c r="J30" s="336">
        <f t="shared" si="3"/>
        <v>3374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3374</v>
      </c>
    </row>
    <row r="31" spans="1:18" ht="15.75">
      <c r="A31" s="339"/>
      <c r="B31" s="321" t="s">
        <v>108</v>
      </c>
      <c r="C31" s="152" t="s">
        <v>563</v>
      </c>
      <c r="D31" s="328">
        <v>3374</v>
      </c>
      <c r="E31" s="328"/>
      <c r="F31" s="328"/>
      <c r="G31" s="329">
        <f t="shared" si="2"/>
        <v>3374</v>
      </c>
      <c r="H31" s="328"/>
      <c r="I31" s="328"/>
      <c r="J31" s="329">
        <f t="shared" si="3"/>
        <v>3374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3374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3374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3374</v>
      </c>
      <c r="H41" s="330">
        <f t="shared" si="10"/>
        <v>0</v>
      </c>
      <c r="I41" s="330">
        <f t="shared" si="10"/>
        <v>0</v>
      </c>
      <c r="J41" s="329">
        <f t="shared" si="3"/>
        <v>3374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3374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27519</v>
      </c>
      <c r="E43" s="349">
        <f>E19+E20+E22+E28+E41+E42</f>
        <v>894</v>
      </c>
      <c r="F43" s="349">
        <f aca="true" t="shared" si="11" ref="F43:R43">F19+F20+F22+F28+F41+F42</f>
        <v>2079</v>
      </c>
      <c r="G43" s="349">
        <f t="shared" si="11"/>
        <v>26334</v>
      </c>
      <c r="H43" s="349">
        <f t="shared" si="11"/>
        <v>0</v>
      </c>
      <c r="I43" s="349">
        <f t="shared" si="11"/>
        <v>0</v>
      </c>
      <c r="J43" s="349">
        <f t="shared" si="11"/>
        <v>26334</v>
      </c>
      <c r="K43" s="349">
        <f t="shared" si="11"/>
        <v>5870</v>
      </c>
      <c r="L43" s="349">
        <f t="shared" si="11"/>
        <v>346</v>
      </c>
      <c r="M43" s="349">
        <f t="shared" si="11"/>
        <v>103</v>
      </c>
      <c r="N43" s="349">
        <f t="shared" si="11"/>
        <v>6113</v>
      </c>
      <c r="O43" s="349">
        <f t="shared" si="11"/>
        <v>0</v>
      </c>
      <c r="P43" s="349">
        <f t="shared" si="11"/>
        <v>0</v>
      </c>
      <c r="Q43" s="349">
        <f t="shared" si="11"/>
        <v>6113</v>
      </c>
      <c r="R43" s="350">
        <f t="shared" si="11"/>
        <v>20221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2" t="s">
        <v>975</v>
      </c>
      <c r="C46" s="706">
        <f>pdeReportingDate</f>
        <v>44644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2"/>
      <c r="C47" s="52"/>
      <c r="D47" s="52"/>
      <c r="E47" s="52"/>
      <c r="F47" s="52"/>
      <c r="G47" s="52"/>
      <c r="H47" s="52"/>
      <c r="I47" s="52"/>
    </row>
    <row r="48" spans="2:9" ht="15.75">
      <c r="B48" s="693" t="s">
        <v>8</v>
      </c>
      <c r="C48" s="707" t="str">
        <f>authorName</f>
        <v>Валентина Борисова Димитрова</v>
      </c>
      <c r="D48" s="707"/>
      <c r="E48" s="707"/>
      <c r="F48" s="707"/>
      <c r="G48" s="707"/>
      <c r="H48" s="707"/>
      <c r="I48" s="707"/>
    </row>
    <row r="49" spans="2:9" ht="15.75">
      <c r="B49" s="693"/>
      <c r="C49" s="80"/>
      <c r="D49" s="80"/>
      <c r="E49" s="80"/>
      <c r="F49" s="80"/>
      <c r="G49" s="80"/>
      <c r="H49" s="80"/>
      <c r="I49" s="80"/>
    </row>
    <row r="50" spans="2:9" ht="15.75">
      <c r="B50" s="693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4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4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4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4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4"/>
      <c r="C55" s="705"/>
      <c r="D55" s="705"/>
      <c r="E55" s="705"/>
      <c r="F55" s="705"/>
      <c r="G55" s="574"/>
      <c r="H55" s="45"/>
      <c r="I55" s="42"/>
    </row>
    <row r="56" spans="2:9" ht="15.75">
      <c r="B56" s="694"/>
      <c r="C56" s="705"/>
      <c r="D56" s="705"/>
      <c r="E56" s="705"/>
      <c r="F56" s="705"/>
      <c r="G56" s="574"/>
      <c r="H56" s="45"/>
      <c r="I56" s="42"/>
    </row>
    <row r="57" spans="2:9" ht="15.75">
      <c r="B57" s="694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4" sqref="C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13023</v>
      </c>
      <c r="D13" s="362">
        <f>SUM(D14:D16)</f>
        <v>0</v>
      </c>
      <c r="E13" s="369">
        <f>SUM(E14:E16)</f>
        <v>13023</v>
      </c>
      <c r="F13" s="133"/>
    </row>
    <row r="14" spans="1:6" ht="15.75">
      <c r="A14" s="370" t="s">
        <v>596</v>
      </c>
      <c r="B14" s="135" t="s">
        <v>597</v>
      </c>
      <c r="C14" s="368">
        <v>5506</v>
      </c>
      <c r="D14" s="368"/>
      <c r="E14" s="369">
        <f aca="true" t="shared" si="0" ref="E14:E44">C14-D14</f>
        <v>5506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7517</v>
      </c>
      <c r="D16" s="368"/>
      <c r="E16" s="369">
        <f t="shared" si="0"/>
        <v>7517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13023</v>
      </c>
      <c r="D21" s="440">
        <f>D13+D17+D18</f>
        <v>0</v>
      </c>
      <c r="E21" s="441">
        <f>E13+E17+E18</f>
        <v>13023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223</v>
      </c>
      <c r="D23" s="443"/>
      <c r="E23" s="442">
        <f t="shared" si="0"/>
        <v>223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10567</v>
      </c>
      <c r="D26" s="362">
        <f>SUM(D27:D29)</f>
        <v>10567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608</v>
      </c>
      <c r="D27" s="368">
        <v>608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1757</v>
      </c>
      <c r="D28" s="368">
        <v>1757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8202</v>
      </c>
      <c r="D29" s="368">
        <v>8202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1853</v>
      </c>
      <c r="D30" s="368">
        <v>1853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65</v>
      </c>
      <c r="D31" s="368">
        <v>65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356</v>
      </c>
      <c r="D40" s="362">
        <f>SUM(D41:D44)</f>
        <v>356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356</v>
      </c>
      <c r="D44" s="368">
        <v>356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12869</v>
      </c>
      <c r="D45" s="438">
        <f>D26+D30+D31+D33+D32+D34+D35+D40</f>
        <v>12869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26115</v>
      </c>
      <c r="D46" s="444">
        <f>D45+D23+D21+D11</f>
        <v>12869</v>
      </c>
      <c r="E46" s="445">
        <f>E45+E23+E21+E11</f>
        <v>13246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136</v>
      </c>
      <c r="D66" s="197"/>
      <c r="E66" s="136">
        <f t="shared" si="1"/>
        <v>136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136</v>
      </c>
      <c r="D68" s="435">
        <f>D54+D58+D63+D64+D65+D66</f>
        <v>0</v>
      </c>
      <c r="E68" s="436">
        <f t="shared" si="1"/>
        <v>136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160</v>
      </c>
      <c r="D70" s="197"/>
      <c r="E70" s="136">
        <f t="shared" si="1"/>
        <v>160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3009</v>
      </c>
      <c r="D73" s="137">
        <f>SUM(D74:D76)</f>
        <v>3009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399</v>
      </c>
      <c r="D75" s="197">
        <v>399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2610</v>
      </c>
      <c r="D76" s="197">
        <v>2610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1775</v>
      </c>
      <c r="D87" s="134">
        <f>SUM(D88:D92)+D96</f>
        <v>1775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769</v>
      </c>
      <c r="D89" s="197">
        <v>769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88</v>
      </c>
      <c r="D90" s="197">
        <v>88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540</v>
      </c>
      <c r="D91" s="197">
        <v>540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216</v>
      </c>
      <c r="D92" s="138">
        <f>SUM(D93:D95)</f>
        <v>216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86</v>
      </c>
      <c r="D93" s="197">
        <v>86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96</v>
      </c>
      <c r="D94" s="197">
        <v>96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34</v>
      </c>
      <c r="D95" s="197">
        <v>34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162</v>
      </c>
      <c r="D96" s="197">
        <v>162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195</v>
      </c>
      <c r="D97" s="197">
        <v>195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4979</v>
      </c>
      <c r="D98" s="433">
        <f>D87+D82+D77+D73+D97</f>
        <v>4979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5275</v>
      </c>
      <c r="D99" s="427">
        <f>D98+D70+D68</f>
        <v>4979</v>
      </c>
      <c r="E99" s="427">
        <f>E98+E70+E68</f>
        <v>296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975</v>
      </c>
      <c r="B111" s="706">
        <f>pdeReportingDate</f>
        <v>44644</v>
      </c>
      <c r="C111" s="706"/>
      <c r="D111" s="706"/>
      <c r="E111" s="706"/>
      <c r="F111" s="706"/>
      <c r="G111" s="52"/>
      <c r="H111" s="52"/>
    </row>
    <row r="112" spans="1:8" ht="15.75">
      <c r="A112" s="692"/>
      <c r="B112" s="706"/>
      <c r="C112" s="706"/>
      <c r="D112" s="706"/>
      <c r="E112" s="706"/>
      <c r="F112" s="706"/>
      <c r="G112" s="52"/>
      <c r="H112" s="52"/>
    </row>
    <row r="113" spans="1:8" ht="15.75">
      <c r="A113" s="693" t="s">
        <v>8</v>
      </c>
      <c r="B113" s="707" t="str">
        <f>authorName</f>
        <v>Валентина Борисова Димитрова</v>
      </c>
      <c r="C113" s="707"/>
      <c r="D113" s="707"/>
      <c r="E113" s="707"/>
      <c r="F113" s="707"/>
      <c r="G113" s="80"/>
      <c r="H113" s="80"/>
    </row>
    <row r="114" spans="1:8" ht="15.75">
      <c r="A114" s="693"/>
      <c r="B114" s="707"/>
      <c r="C114" s="707"/>
      <c r="D114" s="707"/>
      <c r="E114" s="707"/>
      <c r="F114" s="707"/>
      <c r="G114" s="80"/>
      <c r="H114" s="80"/>
    </row>
    <row r="115" spans="1:8" ht="15.75">
      <c r="A115" s="693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4"/>
      <c r="B116" s="705" t="s">
        <v>977</v>
      </c>
      <c r="C116" s="705"/>
      <c r="D116" s="705"/>
      <c r="E116" s="705"/>
      <c r="F116" s="705"/>
      <c r="G116" s="694"/>
      <c r="H116" s="694"/>
    </row>
    <row r="117" spans="1:8" ht="15.75" customHeight="1">
      <c r="A117" s="694"/>
      <c r="B117" s="705" t="s">
        <v>977</v>
      </c>
      <c r="C117" s="705"/>
      <c r="D117" s="705"/>
      <c r="E117" s="705"/>
      <c r="F117" s="705"/>
      <c r="G117" s="694"/>
      <c r="H117" s="694"/>
    </row>
    <row r="118" spans="1:8" ht="15.75" customHeight="1">
      <c r="A118" s="694"/>
      <c r="B118" s="705" t="s">
        <v>977</v>
      </c>
      <c r="C118" s="705"/>
      <c r="D118" s="705"/>
      <c r="E118" s="705"/>
      <c r="F118" s="705"/>
      <c r="G118" s="694"/>
      <c r="H118" s="694"/>
    </row>
    <row r="119" spans="1:8" ht="15.75" customHeight="1">
      <c r="A119" s="694"/>
      <c r="B119" s="705" t="s">
        <v>977</v>
      </c>
      <c r="C119" s="705"/>
      <c r="D119" s="705"/>
      <c r="E119" s="705"/>
      <c r="F119" s="705"/>
      <c r="G119" s="694"/>
      <c r="H119" s="694"/>
    </row>
    <row r="120" spans="1:8" ht="15.75">
      <c r="A120" s="694"/>
      <c r="B120" s="705"/>
      <c r="C120" s="705"/>
      <c r="D120" s="705"/>
      <c r="E120" s="705"/>
      <c r="F120" s="705"/>
      <c r="G120" s="694"/>
      <c r="H120" s="694"/>
    </row>
    <row r="121" spans="1:8" ht="15.75">
      <c r="A121" s="694"/>
      <c r="B121" s="705"/>
      <c r="C121" s="705"/>
      <c r="D121" s="705"/>
      <c r="E121" s="705"/>
      <c r="F121" s="705"/>
      <c r="G121" s="694"/>
      <c r="H121" s="694"/>
    </row>
    <row r="122" spans="1:8" ht="15.75">
      <c r="A122" s="694"/>
      <c r="B122" s="705"/>
      <c r="C122" s="705"/>
      <c r="D122" s="705"/>
      <c r="E122" s="705"/>
      <c r="F122" s="705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23" sqref="D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975</v>
      </c>
      <c r="B31" s="706">
        <f>pdeReportingDate</f>
        <v>44644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Валентина Борисова Димитрова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3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4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4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4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4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4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4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4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2021-12-10T13:26:48Z</cp:lastPrinted>
  <dcterms:created xsi:type="dcterms:W3CDTF">2006-09-16T00:00:00Z</dcterms:created>
  <dcterms:modified xsi:type="dcterms:W3CDTF">2022-03-24T11:33:05Z</dcterms:modified>
  <cp:category/>
  <cp:version/>
  <cp:contentType/>
  <cp:contentStatus/>
</cp:coreProperties>
</file>