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18" activeTab="1"/>
  </bookViews>
  <sheets>
    <sheet name="справка №1-БАЛАНС" sheetId="1" r:id="rId1"/>
    <sheet name="справка №2-ОТЧЕТ ЗА ДОХОДИТ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№4-ОСК'!$A$1:$N$40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<sst xmlns="http://schemas.openxmlformats.org/spreadsheetml/2006/main" count="1064" uniqueCount="879">
  <si>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</si>
  <si>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</si>
  <si>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</si>
  <si>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</si>
  <si>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</si>
  <si>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</si>
  <si>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</si>
  <si>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</si>
  <si>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</si>
  <si>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</si>
  <si>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</si>
  <si>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</si>
  <si>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</si>
  <si>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</si>
  <si>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</si>
  <si>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</si>
  <si>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</si>
  <si>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</si>
  <si>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</si>
  <si>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</si>
  <si>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</si>
  <si>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</si>
  <si>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</si>
  <si>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</si>
  <si>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</si>
  <si>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</si>
  <si>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</si>
  <si>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</si>
  <si>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</si>
  <si>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</si>
  <si>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</si>
  <si>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</si>
  <si>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</si>
  <si>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</si>
  <si>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</si>
  <si>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</si>
  <si>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</si>
  <si>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</si>
  <si>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</si>
  <si>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</si>
  <si>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</si>
  <si>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</si>
  <si>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</si>
  <si>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</si>
  <si>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</si>
  <si>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</si>
  <si>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</si>
  <si>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</si>
  <si>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</si>
  <si>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</si>
  <si>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</si>
  <si>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</si>
  <si>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</si>
  <si>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</si>
  <si>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</si>
  <si>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</si>
  <si>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</si>
  <si>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</si>
  <si>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</si>
  <si>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</si>
  <si>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</si>
  <si>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</si>
  <si>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</si>
  <si>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</si>
  <si>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</si>
  <si>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</si>
  <si>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</si>
  <si>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</si>
  <si>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</si>
  <si>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</si>
  <si>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</si>
  <si>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</si>
  <si>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</si>
  <si>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</si>
  <si>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</si>
  <si>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</si>
  <si>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</si>
  <si>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</si>
  <si>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</si>
  <si>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</si>
  <si>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</si>
  <si>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</si>
  <si>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</si>
  <si>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</si>
  <si>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</si>
  <si>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</si>
  <si>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</si>
  <si>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</si>
  <si>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</si>
  <si>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</si>
  <si>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</si>
  <si>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</si>
  <si>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</si>
  <si>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</si>
  <si>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</si>
  <si>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</si>
  <si>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</si>
  <si>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</si>
  <si>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</si>
  <si>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</si>
  <si>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</si>
  <si>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</si>
  <si>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</si>
  <si>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</si>
  <si>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</si>
  <si>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</si>
  <si>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</si>
  <si>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</si>
  <si>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</si>
  <si>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</si>
  <si>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</si>
  <si>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</si>
  <si>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</si>
  <si>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</si>
  <si>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</si>
  <si>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</si>
  <si>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</si>
  <si>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</si>
  <si>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</si>
  <si>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</si>
  <si>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</si>
  <si>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</si>
  <si>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</si>
  <si>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</si>
  <si>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</si>
  <si>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</si>
  <si>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</si>
  <si>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</si>
  <si>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</si>
  <si>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</si>
  <si>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</si>
  <si>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</si>
  <si>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</si>
  <si>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</si>
  <si>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</si>
  <si>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</si>
  <si>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</si>
  <si>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</si>
  <si>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</si>
  <si>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</si>
  <si>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</si>
  <si>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</si>
  <si>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</si>
  <si>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</si>
  <si>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</si>
  <si>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</si>
  <si>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</si>
  <si>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</si>
  <si>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</si>
  <si>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</si>
  <si>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</si>
  <si>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</si>
  <si>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</si>
  <si>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</si>
  <si>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</si>
  <si>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</si>
  <si>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</si>
  <si>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</si>
  <si>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</si>
  <si>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</si>
  <si>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</si>
  <si>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</si>
  <si>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</si>
  <si>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</si>
  <si>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</si>
  <si>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</si>
  <si>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</si>
  <si>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</si>
  <si>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</si>
  <si>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</si>
  <si>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</si>
  <si>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</si>
  <si>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</si>
  <si>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</si>
  <si>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</si>
  <si>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</si>
  <si>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</si>
  <si>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</si>
  <si>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</si>
  <si>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</si>
  <si>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</si>
  <si>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</si>
  <si>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</si>
  <si>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</si>
  <si>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</si>
  <si>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</si>
  <si>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</si>
  <si>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</si>
  <si>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</si>
  <si>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</si>
  <si>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</si>
  <si>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</si>
  <si>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</si>
  <si>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</si>
  <si>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</si>
  <si>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</si>
  <si>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</si>
  <si>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</si>
  <si>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</si>
  <si>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</si>
  <si>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</si>
  <si>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</si>
  <si>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</si>
  <si>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</si>
  <si>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</si>
  <si>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</si>
  <si>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</si>
  <si>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</si>
  <si>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</si>
  <si>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</si>
  <si>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</si>
  <si>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</si>
  <si>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</si>
  <si>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</si>
  <si>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</si>
  <si>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</si>
  <si>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</si>
  <si>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</si>
  <si>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</si>
  <si>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</si>
  <si>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</si>
  <si>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</si>
  <si>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</si>
  <si>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</si>
  <si>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</si>
  <si>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</si>
  <si>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</si>
  <si>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</si>
  <si>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</si>
  <si>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</si>
  <si>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</si>
  <si>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</si>
  <si>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</si>
  <si>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</si>
  <si>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</si>
  <si>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</si>
  <si>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</si>
  <si>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</si>
  <si>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</si>
  <si>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</si>
  <si>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</si>
  <si>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</si>
  <si>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</si>
  <si>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</si>
  <si>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</si>
  <si>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</si>
  <si>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</si>
  <si>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</si>
  <si>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</si>
  <si>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</si>
  <si>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</si>
  <si>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</si>
  <si>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</si>
  <si>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</si>
  <si>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</si>
  <si>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</si>
  <si>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</si>
  <si>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</si>
  <si>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</si>
  <si>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</si>
  <si>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</si>
  <si>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</si>
  <si>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</si>
  <si>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</si>
  <si>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</si>
  <si>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</si>
  <si>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</si>
  <si>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</si>
  <si>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</si>
  <si>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</si>
  <si>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</si>
  <si>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</si>
  <si>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</si>
  <si>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</si>
  <si>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</si>
  <si>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</si>
  <si>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</si>
  <si>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</si>
  <si>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</si>
  <si>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</si>
  <si>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</si>
  <si>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</si>
  <si>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</si>
  <si>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</si>
  <si>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</si>
  <si>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</si>
  <si>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</si>
  <si>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</si>
  <si>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</si>
  <si>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</si>
  <si>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</si>
  <si>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</si>
  <si>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</si>
  <si>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</si>
  <si>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</si>
  <si>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</si>
  <si>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</si>
  <si>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</si>
  <si>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</si>
  <si>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</si>
  <si>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</si>
  <si>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</si>
  <si>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</si>
  <si>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</si>
  <si>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</si>
  <si>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</si>
  <si>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</si>
  <si>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</si>
  <si>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</si>
  <si>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</si>
  <si>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</si>
  <si>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</si>
  <si>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</si>
  <si>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</si>
  <si>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</si>
  <si>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</si>
  <si>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</si>
  <si>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</si>
  <si>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</si>
  <si>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</si>
  <si>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</si>
  <si>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</si>
  <si>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</si>
  <si>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</si>
  <si>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</si>
  <si>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</si>
  <si>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</si>
  <si>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</si>
  <si>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</si>
  <si>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</si>
  <si>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</si>
  <si>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</si>
  <si>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</si>
  <si>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</si>
  <si>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</si>
  <si>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</si>
  <si>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</si>
  <si>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</si>
  <si>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</si>
  <si>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</si>
  <si>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</si>
  <si>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</si>
  <si>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</si>
  <si>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</si>
  <si>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</si>
  <si>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</si>
  <si>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</si>
  <si>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</si>
  <si>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</si>
  <si>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</si>
  <si>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</si>
  <si>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</si>
  <si>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</si>
  <si>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</si>
  <si>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</si>
  <si>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</si>
  <si>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</si>
  <si>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</si>
  <si>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</si>
  <si>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</si>
  <si>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</si>
  <si>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</si>
  <si>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</si>
  <si>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</si>
  <si>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</si>
  <si>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</si>
  <si>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</si>
  <si>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</si>
  <si>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</si>
  <si>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</si>
  <si>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</si>
  <si>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</si>
  <si>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</si>
  <si>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</si>
  <si>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</si>
  <si>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</si>
  <si>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</si>
  <si>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</si>
  <si>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</si>
  <si>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</si>
  <si>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</si>
  <si>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</si>
  <si>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</si>
  <si>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</si>
  <si>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</si>
  <si>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</si>
  <si>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</si>
  <si>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</si>
  <si>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</si>
  <si>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</si>
  <si>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</si>
  <si>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</si>
  <si>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</si>
  <si>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</si>
  <si>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</si>
  <si>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</si>
  <si>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</si>
  <si>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</si>
  <si>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</si>
  <si>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</si>
  <si>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</si>
  <si>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</si>
  <si>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</si>
  <si>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</si>
  <si>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</si>
  <si>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</si>
  <si>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</si>
  <si>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</si>
  <si>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</si>
  <si>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</si>
  <si>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</si>
  <si>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</si>
  <si>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</si>
  <si>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</si>
  <si>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</si>
  <si>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</si>
  <si>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</si>
  <si>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</si>
  <si>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</si>
  <si>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</si>
  <si>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</si>
  <si>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</si>
  <si>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</si>
  <si>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</si>
  <si>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</si>
  <si>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</si>
  <si>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</si>
  <si>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</si>
  <si>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</si>
  <si>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</si>
  <si>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</si>
  <si>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</si>
  <si>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</si>
  <si>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</si>
  <si>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</si>
  <si>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</si>
  <si>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</si>
  <si>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</si>
  <si>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</si>
  <si>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</si>
  <si>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</si>
  <si>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</si>
  <si>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</si>
  <si>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</si>
  <si>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</si>
  <si>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</si>
  <si>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</si>
  <si>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</si>
  <si>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</si>
  <si>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</si>
  <si>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</si>
  <si>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</si>
  <si>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</si>
  <si>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</si>
  <si>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</si>
  <si>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</si>
  <si>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</si>
  <si>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</si>
  <si>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</si>
  <si>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</si>
  <si>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</si>
  <si>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</si>
  <si>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</si>
  <si>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</si>
  <si>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</si>
  <si>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</si>
  <si>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</si>
  <si>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</si>
  <si>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</si>
  <si>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</si>
  <si>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</si>
  <si>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</si>
  <si>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</si>
  <si>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</si>
  <si>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</si>
  <si>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</si>
  <si>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</si>
  <si>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</si>
  <si>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</si>
  <si>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</si>
  <si>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</si>
  <si>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</si>
  <si>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</si>
  <si>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</si>
  <si>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</si>
  <si>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</si>
  <si>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</si>
  <si>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</si>
  <si>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</si>
  <si>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</si>
  <si>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</si>
  <si>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</si>
  <si>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</si>
  <si>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</si>
  <si>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</si>
  <si>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</si>
  <si>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</si>
  <si>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</si>
  <si>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</si>
  <si>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</si>
  <si>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</si>
  <si>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</si>
  <si>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</si>
  <si>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</si>
  <si>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</si>
  <si>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</si>
  <si>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</si>
  <si>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</si>
  <si>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</si>
  <si>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</si>
  <si>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</si>
  <si>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</si>
  <si>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</si>
  <si>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</si>
  <si>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</si>
  <si>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</si>
  <si>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</si>
  <si>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</si>
  <si>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</si>
  <si>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</si>
  <si>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</si>
  <si>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</si>
  <si>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</si>
  <si>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</si>
  <si>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</si>
  <si>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</si>
  <si>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</si>
  <si>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</si>
  <si>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</si>
  <si>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</si>
  <si>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</si>
  <si>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</si>
  <si>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</si>
  <si>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</si>
  <si>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</si>
  <si>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</si>
  <si>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</si>
  <si>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</si>
  <si>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</si>
  <si>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</si>
  <si>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</si>
  <si>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</si>
  <si>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</si>
  <si>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</si>
  <si>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</si>
  <si>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</si>
  <si>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</si>
  <si>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</si>
  <si>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</si>
  <si>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</si>
  <si>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</si>
  <si>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</si>
  <si>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</si>
  <si>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</si>
  <si>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</si>
  <si>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</si>
  <si>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</si>
  <si>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</si>
  <si>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</si>
  <si>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</si>
  <si>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</si>
  <si>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</si>
  <si>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</si>
  <si>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</si>
  <si>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</si>
  <si>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</si>
  <si>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</si>
  <si>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</si>
  <si>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</si>
  <si>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</si>
  <si>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</si>
  <si>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</si>
  <si>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</si>
  <si>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</si>
  <si>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</si>
  <si>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</si>
  <si>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</si>
  <si>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</si>
  <si>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</si>
  <si>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</si>
  <si>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</si>
  <si>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</si>
  <si>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</si>
  <si>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</si>
  <si>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</si>
  <si>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</si>
  <si>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</si>
  <si>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</si>
  <si>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</si>
  <si>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</si>
  <si>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</si>
  <si>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</si>
  <si>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</si>
  <si>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</si>
  <si>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</si>
  <si>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</si>
  <si>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</si>
  <si>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</si>
  <si>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</si>
  <si>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</si>
  <si>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</si>
  <si>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</si>
  <si>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</si>
  <si>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</si>
  <si>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</si>
  <si>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</si>
  <si>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</si>
  <si>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</si>
  <si>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</si>
  <si>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</si>
  <si>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</si>
  <si>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</si>
  <si>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</si>
  <si>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</si>
  <si>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</si>
  <si>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</si>
  <si>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</si>
  <si>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</si>
  <si>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</si>
  <si>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</si>
  <si>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</si>
  <si>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</si>
  <si>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</si>
  <si>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</si>
  <si>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</si>
  <si>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</si>
  <si>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</si>
  <si>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</si>
  <si>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</si>
  <si>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</si>
  <si>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</si>
  <si>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</si>
  <si>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</si>
  <si>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</si>
  <si>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</si>
  <si>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</si>
  <si>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</si>
  <si>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</si>
  <si>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</si>
  <si>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</si>
  <si>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</si>
  <si>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</si>
  <si>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</si>
  <si>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</si>
  <si>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</si>
  <si>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</si>
  <si>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</si>
  <si>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</si>
  <si>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</si>
  <si>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</si>
  <si>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</si>
  <si>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</si>
  <si>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</si>
  <si>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</si>
  <si>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</si>
  <si>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</si>
  <si>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</si>
  <si>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</si>
  <si>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</si>
  <si>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</si>
  <si>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</si>
  <si>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</si>
  <si>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</si>
  <si>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</si>
  <si>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</si>
  <si>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</si>
  <si>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</si>
  <si>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</si>
  <si>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</si>
  <si>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</si>
  <si>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</si>
  <si>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</si>
  <si>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</si>
  <si>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</si>
  <si>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</si>
  <si>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</si>
  <si>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</si>
  <si>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</si>
  <si>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</si>
  <si>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</si>
  <si>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</si>
  <si>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</si>
  <si>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</si>
  <si>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</si>
  <si>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</si>
  <si>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</si>
  <si>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</si>
  <si>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</si>
  <si>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</si>
  <si>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</si>
  <si>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</si>
  <si>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</si>
  <si>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</si>
  <si>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</si>
  <si>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</si>
  <si>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</si>
  <si>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</si>
  <si>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</si>
  <si>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</si>
  <si>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</si>
  <si>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</si>
  <si>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</si>
  <si>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</si>
  <si>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</si>
  <si>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</si>
  <si>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</si>
  <si>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</si>
  <si>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</si>
  <si>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</si>
  <si>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</si>
  <si>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</si>
  <si>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</si>
  <si>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</si>
  <si>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</si>
  <si>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</si>
  <si>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</si>
  <si>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</si>
  <si>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</si>
  <si>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</si>
  <si>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</si>
  <si>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</si>
  <si>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</si>
  <si>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</si>
  <si>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</si>
  <si>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</si>
  <si>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</si>
  <si>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</si>
  <si>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</si>
  <si>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</si>
  <si>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</si>
  <si>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</si>
  <si>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</si>
  <si>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</si>
  <si>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</si>
  <si>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</si>
  <si>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</si>
  <si>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</si>
  <si>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</si>
  <si>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</si>
  <si>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</si>
  <si>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</si>
  <si>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</si>
  <si>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</si>
  <si>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</si>
  <si>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</si>
  <si>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</si>
  <si>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</si>
  <si>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</si>
  <si>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</si>
  <si>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</si>
  <si>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</si>
  <si>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</si>
  <si>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</si>
  <si>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</si>
  <si>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</si>
  <si>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</si>
  <si>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</si>
  <si>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</si>
  <si>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</si>
  <si>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</si>
  <si>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</si>
  <si>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</si>
  <si>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</si>
  <si>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</si>
  <si>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</si>
  <si>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</si>
  <si>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</si>
  <si>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</si>
  <si>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</si>
  <si>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</si>
  <si>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</si>
  <si>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</si>
  <si>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</si>
  <si>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</si>
  <si>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</si>
  <si>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</si>
  <si>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</si>
  <si>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</si>
  <si>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</si>
  <si>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</si>
  <si>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</si>
  <si>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</si>
  <si>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</si>
  <si>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</si>
  <si>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</si>
  <si>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</si>
  <si>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</si>
  <si>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</si>
  <si>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</si>
  <si>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</si>
  <si>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</si>
  <si>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</si>
  <si>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</si>
  <si>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</si>
  <si>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</si>
  <si>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</si>
  <si>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</si>
  <si>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</si>
  <si>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</si>
  <si>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</si>
  <si>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</si>
  <si>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</si>
  <si>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</si>
  <si>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</si>
  <si>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</si>
  <si>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</si>
  <si>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</si>
  <si>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</si>
  <si>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</si>
  <si>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</si>
  <si>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</si>
  <si>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</si>
  <si>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</si>
  <si>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</si>
  <si>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</si>
  <si>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</si>
  <si>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</si>
  <si>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</si>
  <si>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</si>
  <si>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</si>
  <si>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</si>
  <si>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</si>
  <si>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</si>
  <si>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</si>
  <si>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</si>
  <si>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</si>
  <si>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</si>
  <si>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</si>
  <si>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</si>
  <si>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</si>
  <si>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</si>
  <si>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</si>
  <si>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</si>
  <si>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</si>
  <si>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</si>
  <si>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</si>
  <si>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</si>
  <si>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</si>
  <si>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</si>
  <si>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</si>
  <si>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</si>
  <si>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</si>
  <si>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</si>
  <si>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</si>
  <si>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</si>
  <si>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</si>
  <si>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</si>
  <si>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</si>
  <si>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</si>
  <si>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</si>
  <si>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</si>
  <si>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</si>
  <si>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</si>
  <si>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</si>
  <si>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</si>
  <si>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</si>
  <si>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</si>
  <si>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</si>
  <si>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</si>
  <si>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</si>
  <si>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</si>
  <si>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</si>
  <si>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</si>
  <si>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</si>
  <si>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</si>
  <si>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"Химимпорт" АД</t>
  </si>
  <si>
    <t>1.ПОАД Съгласие</t>
  </si>
  <si>
    <t>себестойностен</t>
  </si>
  <si>
    <t>консолидиран</t>
  </si>
  <si>
    <t>2.Фрапорт Туин Стар Еърпорт Мениджмънт АД</t>
  </si>
  <si>
    <t>3.Каварна Газ ООД</t>
  </si>
  <si>
    <t>4 АП Електротерм</t>
  </si>
  <si>
    <t>5 Луфтханза Техникс</t>
  </si>
  <si>
    <t>6 Холдинг Варна А АД</t>
  </si>
  <si>
    <t>7 Холдинг Нов Век АД</t>
  </si>
  <si>
    <t>8 Галатекс АД</t>
  </si>
  <si>
    <t>Дата на съставяне: 30.08.2008</t>
  </si>
  <si>
    <t>Дата на съставяне: 30,08,2008</t>
  </si>
  <si>
    <t>Дата на съставяне:30.08.2008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</si>
</sst>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tanio\Local%20Settings\Temporary%20Internet%20Files\Content.IE5\IDQZKBS1\bse-Chim.12.07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JUNE'08\Packeti0608\Consolidation2008_06-ALL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"Химимпорт" АД</v>
          </cell>
          <cell r="H3">
            <v>627519</v>
          </cell>
        </row>
        <row r="4">
          <cell r="E4" t="str">
            <v>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S"/>
      <sheetName val="CFS"/>
      <sheetName val="SChE"/>
      <sheetName val="Shares"/>
      <sheetName val="B1PPE"/>
      <sheetName val="B2IntA"/>
      <sheetName val="B3InvP"/>
      <sheetName val="B4GW"/>
      <sheetName val="B5Subs"/>
      <sheetName val="B6Assoc"/>
      <sheetName val="B7LRFA"/>
      <sheetName val="B8SRFA"/>
      <sheetName val="B9Invent"/>
      <sheetName val="B9A CContr"/>
      <sheetName val="B10TRec"/>
      <sheetName val="B11ORec"/>
      <sheetName val="B12Cash"/>
      <sheetName val="b12A AHS"/>
      <sheetName val="B13Lease"/>
      <sheetName val="B14DefTax"/>
      <sheetName val="B15ShCap"/>
      <sheetName val="B33 Sp.Res."/>
      <sheetName val="B16Res"/>
      <sheetName val="B17LTFL"/>
      <sheetName val="B18STFL"/>
      <sheetName val="B19LROP"/>
      <sheetName val="B20T&amp;OPay"/>
      <sheetName val="B21LR groupR"/>
      <sheetName val="B22SR groupR"/>
      <sheetName val="B23LR groupP"/>
      <sheetName val="B25related"/>
      <sheetName val="B24SR groupP"/>
      <sheetName val="B26LR relatedR"/>
      <sheetName val="B27SR relatedR"/>
      <sheetName val="B28LR relatedP"/>
      <sheetName val="B29SR relatedP"/>
      <sheetName val="B30LR groupP"/>
      <sheetName val="B31LR relatedP"/>
      <sheetName val="B32"/>
      <sheetName val="B34"/>
      <sheetName val="I1"/>
      <sheetName val="I2"/>
      <sheetName val="I1A"/>
      <sheetName val="I3"/>
      <sheetName val="I4"/>
      <sheetName val="I5"/>
      <sheetName val="I6"/>
      <sheetName val="I7"/>
      <sheetName val="I7 А"/>
      <sheetName val="I8"/>
      <sheetName val="I9"/>
      <sheetName val="I10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3A"/>
      <sheetName val="I34"/>
      <sheetName val="I35"/>
      <sheetName val="I36"/>
      <sheetName val="I37"/>
      <sheetName val="I38"/>
      <sheetName val="I39shares"/>
      <sheetName val="Changes IAS 8"/>
      <sheetName val="Events after Balance Sheet Date"/>
      <sheetName val="Impairment"/>
      <sheetName val="Contingent Liabilities &amp; Assets"/>
      <sheetName val="GT_Custom"/>
    </sheetNames>
    <sheetDataSet>
      <sheetData sheetId="12">
        <row r="35">
          <cell r="B35">
            <v>1056</v>
          </cell>
        </row>
        <row r="36">
          <cell r="B36">
            <v>1111</v>
          </cell>
        </row>
        <row r="37">
          <cell r="B37">
            <v>13</v>
          </cell>
        </row>
        <row r="109">
          <cell r="B109">
            <v>7039</v>
          </cell>
        </row>
        <row r="125">
          <cell r="B125">
            <v>19959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SheetLayoutView="100" workbookViewId="0" topLeftCell="A75">
      <selection activeCell="D110" sqref="D110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0" t="s">
        <v>865</v>
      </c>
      <c r="F3" s="217" t="s">
        <v>2</v>
      </c>
      <c r="G3" s="172"/>
      <c r="H3" s="172">
        <v>627519</v>
      </c>
    </row>
    <row r="4" spans="1:8" ht="15">
      <c r="A4" s="581" t="s">
        <v>3</v>
      </c>
      <c r="B4" s="587"/>
      <c r="C4" s="587"/>
      <c r="D4" s="587"/>
      <c r="E4" s="502" t="s">
        <v>868</v>
      </c>
      <c r="F4" s="583" t="s">
        <v>4</v>
      </c>
      <c r="G4" s="584"/>
      <c r="H4" s="459" t="s">
        <v>159</v>
      </c>
    </row>
    <row r="5" spans="1:8" ht="15">
      <c r="A5" s="581" t="s">
        <v>5</v>
      </c>
      <c r="B5" s="582"/>
      <c r="C5" s="582"/>
      <c r="D5" s="582"/>
      <c r="E5" s="503">
        <v>39629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98290</v>
      </c>
      <c r="D11" s="151">
        <v>87638</v>
      </c>
      <c r="E11" s="237" t="s">
        <v>22</v>
      </c>
      <c r="F11" s="242" t="s">
        <v>23</v>
      </c>
      <c r="G11" s="152">
        <v>150000</v>
      </c>
      <c r="H11" s="152">
        <v>150000</v>
      </c>
    </row>
    <row r="12" spans="1:8" ht="15">
      <c r="A12" s="235" t="s">
        <v>24</v>
      </c>
      <c r="B12" s="241" t="s">
        <v>25</v>
      </c>
      <c r="C12" s="151">
        <v>119641</v>
      </c>
      <c r="D12" s="151">
        <v>107726</v>
      </c>
      <c r="E12" s="237" t="s">
        <v>26</v>
      </c>
      <c r="F12" s="242" t="s">
        <v>27</v>
      </c>
      <c r="G12" s="153">
        <f>G11</f>
        <v>150000</v>
      </c>
      <c r="H12" s="153">
        <v>150000</v>
      </c>
    </row>
    <row r="13" spans="1:8" ht="15">
      <c r="A13" s="235" t="s">
        <v>28</v>
      </c>
      <c r="B13" s="241" t="s">
        <v>29</v>
      </c>
      <c r="C13" s="151">
        <v>32938</v>
      </c>
      <c r="D13" s="151">
        <v>42961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74122</v>
      </c>
      <c r="D14" s="151">
        <v>65877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74236</v>
      </c>
      <c r="D15" s="151">
        <v>57583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79666</v>
      </c>
      <c r="D17" s="151">
        <v>67695</v>
      </c>
      <c r="E17" s="243" t="s">
        <v>46</v>
      </c>
      <c r="F17" s="245" t="s">
        <v>47</v>
      </c>
      <c r="G17" s="154">
        <f>G11+G14+G15+G16</f>
        <v>150000</v>
      </c>
      <c r="H17" s="154">
        <f>H11+H14+H15+H16</f>
        <v>150000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6710</v>
      </c>
      <c r="D18" s="151">
        <v>4805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485603</v>
      </c>
      <c r="D19" s="155">
        <f>SUM(D11:D18)</f>
        <v>434285</v>
      </c>
      <c r="E19" s="237" t="s">
        <v>53</v>
      </c>
      <c r="F19" s="242" t="s">
        <v>54</v>
      </c>
      <c r="G19" s="152">
        <v>232343</v>
      </c>
      <c r="H19" s="152">
        <v>232343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21405</v>
      </c>
      <c r="D20" s="151">
        <v>18136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2476</v>
      </c>
      <c r="H21" s="156">
        <f>SUM(H22:H24)</f>
        <v>3678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2403</v>
      </c>
      <c r="H22" s="152">
        <v>2403</v>
      </c>
    </row>
    <row r="23" spans="1:13" ht="15">
      <c r="A23" s="235" t="s">
        <v>66</v>
      </c>
      <c r="B23" s="241" t="s">
        <v>67</v>
      </c>
      <c r="C23" s="151">
        <v>28081</v>
      </c>
      <c r="D23" s="151">
        <v>28901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760</v>
      </c>
      <c r="D24" s="151">
        <v>312</v>
      </c>
      <c r="E24" s="237" t="s">
        <v>72</v>
      </c>
      <c r="F24" s="242" t="s">
        <v>73</v>
      </c>
      <c r="G24" s="152">
        <v>73</v>
      </c>
      <c r="H24" s="152">
        <v>1275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234819</v>
      </c>
      <c r="H25" s="154">
        <f>H19+H20+H21</f>
        <v>236021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30290</v>
      </c>
      <c r="D26" s="151">
        <v>20856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59131</v>
      </c>
      <c r="D27" s="155">
        <f>SUM(D23:D26)</f>
        <v>50069</v>
      </c>
      <c r="E27" s="253" t="s">
        <v>83</v>
      </c>
      <c r="F27" s="242" t="s">
        <v>84</v>
      </c>
      <c r="G27" s="154">
        <f>SUM(G28:G30)</f>
        <v>243697</v>
      </c>
      <c r="H27" s="154">
        <f>SUM(H28:H30)</f>
        <v>124587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243697</v>
      </c>
      <c r="H28" s="152">
        <v>124587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17419</v>
      </c>
      <c r="D30" s="151">
        <v>10822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65215</v>
      </c>
      <c r="H31" s="152">
        <v>119110</v>
      </c>
      <c r="M31" s="157"/>
    </row>
    <row r="32" spans="1:15" ht="15">
      <c r="A32" s="235" t="s">
        <v>98</v>
      </c>
      <c r="B32" s="250" t="s">
        <v>99</v>
      </c>
      <c r="C32" s="155">
        <f>C30+C31</f>
        <v>17419</v>
      </c>
      <c r="D32" s="155">
        <f>D30+D31</f>
        <v>10822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308912</v>
      </c>
      <c r="H33" s="154">
        <f>H27+H31+H32</f>
        <v>243697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852</v>
      </c>
      <c r="B34" s="244" t="s">
        <v>105</v>
      </c>
      <c r="C34" s="155">
        <f>SUM(C35:C38)</f>
        <v>110579</v>
      </c>
      <c r="D34" s="155">
        <f>SUM(D35:D38)</f>
        <v>26272.445600000003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693731</v>
      </c>
      <c r="H36" s="154">
        <f>H25+H17+H33</f>
        <v>629718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110579</v>
      </c>
      <c r="D37" s="151">
        <v>26272.445600000003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120827</v>
      </c>
      <c r="D39" s="159">
        <f>D40+D41+D43</f>
        <v>83790</v>
      </c>
      <c r="E39" s="445" t="s">
        <v>118</v>
      </c>
      <c r="F39" s="261" t="s">
        <v>119</v>
      </c>
      <c r="G39" s="158">
        <v>181421</v>
      </c>
      <c r="H39" s="158">
        <v>179877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120827</v>
      </c>
      <c r="D41" s="151">
        <v>83790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159385</v>
      </c>
      <c r="H43" s="152">
        <v>146709</v>
      </c>
      <c r="M43" s="157"/>
    </row>
    <row r="44" spans="1:8" ht="15">
      <c r="A44" s="235" t="s">
        <v>132</v>
      </c>
      <c r="B44" s="264" t="s">
        <v>133</v>
      </c>
      <c r="C44" s="151">
        <v>708805</v>
      </c>
      <c r="D44" s="151">
        <v>590797</v>
      </c>
      <c r="E44" s="268" t="s">
        <v>134</v>
      </c>
      <c r="F44" s="242" t="s">
        <v>135</v>
      </c>
      <c r="G44" s="152">
        <f>116189-12125</f>
        <v>104064</v>
      </c>
      <c r="H44" s="152">
        <v>40989</v>
      </c>
    </row>
    <row r="45" spans="1:15" ht="15">
      <c r="A45" s="235" t="s">
        <v>136</v>
      </c>
      <c r="B45" s="249" t="s">
        <v>137</v>
      </c>
      <c r="C45" s="155">
        <f>C34+C39+C44</f>
        <v>940211</v>
      </c>
      <c r="D45" s="155">
        <f>D34+D39+D44</f>
        <v>700859.4456</v>
      </c>
      <c r="E45" s="251" t="s">
        <v>138</v>
      </c>
      <c r="F45" s="242" t="s">
        <v>139</v>
      </c>
      <c r="G45" s="152"/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15689</v>
      </c>
    </row>
    <row r="47" spans="1:13" ht="15">
      <c r="A47" s="235" t="s">
        <v>143</v>
      </c>
      <c r="B47" s="241" t="s">
        <v>144</v>
      </c>
      <c r="C47" s="151">
        <v>10027</v>
      </c>
      <c r="D47" s="151">
        <v>1000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f>577853+12125+194</f>
        <v>590172</v>
      </c>
      <c r="H48" s="152">
        <v>1003674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853621</v>
      </c>
      <c r="H49" s="154">
        <f>SUM(H43:H48)</f>
        <v>1207061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10027</v>
      </c>
      <c r="D51" s="155">
        <f>SUM(D47:D50)</f>
        <v>1000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12022</v>
      </c>
      <c r="H53" s="152">
        <v>11274</v>
      </c>
    </row>
    <row r="54" spans="1:8" ht="27">
      <c r="A54" s="235" t="s">
        <v>166</v>
      </c>
      <c r="B54" s="249" t="s">
        <v>167</v>
      </c>
      <c r="C54" s="151">
        <v>2120</v>
      </c>
      <c r="D54" s="151">
        <v>1930</v>
      </c>
      <c r="E54" s="237" t="s">
        <v>168</v>
      </c>
      <c r="F54" s="245" t="s">
        <v>169</v>
      </c>
      <c r="G54" s="152">
        <v>3172</v>
      </c>
      <c r="H54" s="152">
        <v>3951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1535916</v>
      </c>
      <c r="D55" s="155">
        <f>D19+D20+D21+D27+D32+D45+D51+D53+D54</f>
        <v>1217101.4456</v>
      </c>
      <c r="E55" s="237" t="s">
        <v>172</v>
      </c>
      <c r="F55" s="261" t="s">
        <v>173</v>
      </c>
      <c r="G55" s="154">
        <f>G49+G51+G52+G53+G54</f>
        <v>868815</v>
      </c>
      <c r="H55" s="154">
        <f>H49+H51+H52+H53+H54</f>
        <v>1222286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22326</v>
      </c>
      <c r="D58" s="151">
        <v>19428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2025</v>
      </c>
      <c r="D59" s="151">
        <v>2101</v>
      </c>
      <c r="E59" s="251" t="s">
        <v>181</v>
      </c>
      <c r="F59" s="242" t="s">
        <v>182</v>
      </c>
      <c r="G59" s="152">
        <v>123006</v>
      </c>
      <c r="H59" s="152">
        <v>71761</v>
      </c>
      <c r="M59" s="157"/>
    </row>
    <row r="60" spans="1:8" ht="15">
      <c r="A60" s="235" t="s">
        <v>183</v>
      </c>
      <c r="B60" s="241" t="s">
        <v>184</v>
      </c>
      <c r="C60" s="151">
        <v>39994</v>
      </c>
      <c r="D60" s="151">
        <v>44476</v>
      </c>
      <c r="E60" s="237" t="s">
        <v>185</v>
      </c>
      <c r="F60" s="242" t="s">
        <v>186</v>
      </c>
      <c r="G60" s="152">
        <v>6889</v>
      </c>
      <c r="H60" s="152">
        <v>4548</v>
      </c>
    </row>
    <row r="61" spans="1:18" ht="15">
      <c r="A61" s="235" t="s">
        <v>187</v>
      </c>
      <c r="B61" s="244" t="s">
        <v>188</v>
      </c>
      <c r="C61" s="151">
        <v>5983</v>
      </c>
      <c r="D61" s="151">
        <v>5789</v>
      </c>
      <c r="E61" s="243" t="s">
        <v>189</v>
      </c>
      <c r="F61" s="272" t="s">
        <v>190</v>
      </c>
      <c r="G61" s="154">
        <f>SUM(G62:G68)</f>
        <v>139149</v>
      </c>
      <c r="H61" s="154">
        <f>SUM(H62:H68)</f>
        <v>166526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6712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562</v>
      </c>
      <c r="D63" s="151">
        <v>78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70890</v>
      </c>
      <c r="D64" s="155">
        <f>SUM(D58:D63)</f>
        <v>71872</v>
      </c>
      <c r="E64" s="237" t="s">
        <v>200</v>
      </c>
      <c r="F64" s="242" t="s">
        <v>201</v>
      </c>
      <c r="G64" s="152">
        <v>105331</v>
      </c>
      <c r="H64" s="152">
        <v>135937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7589</v>
      </c>
      <c r="H65" s="152">
        <v>6269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9479</v>
      </c>
      <c r="H66" s="152">
        <v>9455</v>
      </c>
    </row>
    <row r="67" spans="1:8" ht="15">
      <c r="A67" s="235" t="s">
        <v>207</v>
      </c>
      <c r="B67" s="241" t="s">
        <v>208</v>
      </c>
      <c r="C67" s="151">
        <v>53116</v>
      </c>
      <c r="D67" s="151">
        <v>35522</v>
      </c>
      <c r="E67" s="237" t="s">
        <v>209</v>
      </c>
      <c r="F67" s="242" t="s">
        <v>210</v>
      </c>
      <c r="G67" s="152">
        <v>2796</v>
      </c>
      <c r="H67" s="152">
        <v>2310</v>
      </c>
    </row>
    <row r="68" spans="1:8" ht="15">
      <c r="A68" s="235" t="s">
        <v>211</v>
      </c>
      <c r="B68" s="241" t="s">
        <v>212</v>
      </c>
      <c r="C68" s="151">
        <v>125814</v>
      </c>
      <c r="D68" s="151">
        <v>126977</v>
      </c>
      <c r="E68" s="237" t="s">
        <v>213</v>
      </c>
      <c r="F68" s="242" t="s">
        <v>214</v>
      </c>
      <c r="G68" s="152">
        <v>7242</v>
      </c>
      <c r="H68" s="152">
        <v>12555</v>
      </c>
    </row>
    <row r="69" spans="1:8" ht="15">
      <c r="A69" s="235" t="s">
        <v>215</v>
      </c>
      <c r="B69" s="241" t="s">
        <v>216</v>
      </c>
      <c r="C69" s="151">
        <v>13247</v>
      </c>
      <c r="D69" s="151">
        <v>8321</v>
      </c>
      <c r="E69" s="251" t="s">
        <v>78</v>
      </c>
      <c r="F69" s="242" t="s">
        <v>217</v>
      </c>
      <c r="G69" s="152">
        <v>964263</v>
      </c>
      <c r="H69" s="152">
        <v>467203</v>
      </c>
    </row>
    <row r="70" spans="1:8" ht="25.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510</v>
      </c>
      <c r="H70" s="152">
        <v>252</v>
      </c>
    </row>
    <row r="71" spans="1:18" ht="15">
      <c r="A71" s="235" t="s">
        <v>222</v>
      </c>
      <c r="B71" s="241" t="s">
        <v>223</v>
      </c>
      <c r="C71" s="151">
        <v>1639</v>
      </c>
      <c r="D71" s="151">
        <v>1419</v>
      </c>
      <c r="E71" s="253" t="s">
        <v>46</v>
      </c>
      <c r="F71" s="273" t="s">
        <v>224</v>
      </c>
      <c r="G71" s="161">
        <f>G59+G60+G61+G69+G70</f>
        <v>1233817</v>
      </c>
      <c r="H71" s="161">
        <f>H59+H60+H61+H69+H70</f>
        <v>710290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11521</v>
      </c>
      <c r="D72" s="151">
        <v>6367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179</v>
      </c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132631-C69-C71-C72-7168+2116</f>
        <v>101172</v>
      </c>
      <c r="D74" s="151">
        <v>87226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306509</v>
      </c>
      <c r="D75" s="155">
        <f>SUM(D67:D74)</f>
        <v>266011</v>
      </c>
      <c r="E75" s="251" t="s">
        <v>160</v>
      </c>
      <c r="F75" s="245" t="s">
        <v>234</v>
      </c>
      <c r="G75" s="152">
        <f>31+477+63+418</f>
        <v>989</v>
      </c>
      <c r="H75" s="152">
        <v>1413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>
        <v>3068</v>
      </c>
      <c r="H76" s="152">
        <v>3260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96089</v>
      </c>
      <c r="D78" s="155">
        <f>SUM(D79:D81)</f>
        <v>29610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f>'[2]B8SRFA'!$B$35+'[2]B8SRFA'!$B$36+'[2]B8SRFA'!$B$37+'[2]B8SRFA'!$B$109</f>
        <v>9219</v>
      </c>
      <c r="D79" s="151">
        <v>15002</v>
      </c>
      <c r="E79" s="251" t="s">
        <v>242</v>
      </c>
      <c r="F79" s="261" t="s">
        <v>243</v>
      </c>
      <c r="G79" s="162">
        <f>G71+G74+G75+G76</f>
        <v>1237874</v>
      </c>
      <c r="H79" s="162">
        <f>H71+H74+H75+H76</f>
        <v>714963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1941</v>
      </c>
      <c r="D80" s="151">
        <v>1306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f>89050-C80-'[2]B8SRFA'!$B$35-'[2]B8SRFA'!$B$36-13</f>
        <v>84929</v>
      </c>
      <c r="D81" s="151">
        <v>13302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f>'[2]B8SRFA'!$B$125-'[2]B8SRFA'!$B$109</f>
        <v>12920</v>
      </c>
      <c r="D82" s="151">
        <v>109090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350035</v>
      </c>
      <c r="D83" s="151">
        <v>300184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459044</v>
      </c>
      <c r="D84" s="155">
        <f>D83+D82+D78</f>
        <v>438884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98150</v>
      </c>
      <c r="D87" s="151">
        <v>88651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570676-83459</f>
        <v>487217</v>
      </c>
      <c r="D88" s="151">
        <v>607518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5189</v>
      </c>
      <c r="D89" s="151">
        <v>34947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14758</v>
      </c>
      <c r="D90" s="151">
        <v>17753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605314</v>
      </c>
      <c r="D91" s="155">
        <f>SUM(D87:D90)</f>
        <v>748869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7168</v>
      </c>
      <c r="D92" s="151">
        <v>4107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1448925</v>
      </c>
      <c r="D93" s="155">
        <f>D64+D75+D84+D91+D92</f>
        <v>1529743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2984841</v>
      </c>
      <c r="D94" s="164">
        <f>D93+D55</f>
        <v>2746844.4456</v>
      </c>
      <c r="E94" s="449" t="s">
        <v>270</v>
      </c>
      <c r="F94" s="289" t="s">
        <v>271</v>
      </c>
      <c r="G94" s="165">
        <f>G36+G39+G55+G79</f>
        <v>2981841</v>
      </c>
      <c r="H94" s="165">
        <f>H36+H39+H55+H79</f>
        <v>2746844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1:8" ht="15">
      <c r="A99" s="573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R366"/>
  <sheetViews>
    <sheetView tabSelected="1" view="pageBreakPreview" zoomScaleSheetLayoutView="100" workbookViewId="0" topLeftCell="A10">
      <selection activeCell="G24" sqref="G24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0" t="str">
        <f>'[1]справка №1-БАЛАНС'!E3</f>
        <v>"Химимпорт" АД</v>
      </c>
      <c r="C2" s="590"/>
      <c r="D2" s="590"/>
      <c r="E2" s="590"/>
      <c r="F2" s="577" t="s">
        <v>2</v>
      </c>
      <c r="G2" s="577"/>
      <c r="H2" s="524">
        <f>'[1]справка №1-БАЛАНС'!H3</f>
        <v>627519</v>
      </c>
    </row>
    <row r="3" spans="1:8" ht="15">
      <c r="A3" s="465" t="s">
        <v>275</v>
      </c>
      <c r="B3" s="590" t="str">
        <f>'[1]справка №1-БАЛАНС'!E4</f>
        <v>консолидиран</v>
      </c>
      <c r="C3" s="590"/>
      <c r="D3" s="590"/>
      <c r="E3" s="590"/>
      <c r="F3" s="544" t="s">
        <v>4</v>
      </c>
      <c r="G3" s="525"/>
      <c r="H3" s="525" t="str">
        <f>'[1]справка №1-БАЛАНС'!H4</f>
        <v> </v>
      </c>
    </row>
    <row r="4" spans="1:8" ht="17.25" customHeight="1">
      <c r="A4" s="465" t="s">
        <v>5</v>
      </c>
      <c r="B4" s="576">
        <v>39629</v>
      </c>
      <c r="C4" s="576"/>
      <c r="D4" s="576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81939</v>
      </c>
      <c r="D9" s="46">
        <v>37358</v>
      </c>
      <c r="E9" s="298" t="s">
        <v>285</v>
      </c>
      <c r="F9" s="547" t="s">
        <v>286</v>
      </c>
      <c r="G9" s="548">
        <f>15868+733</f>
        <v>16601</v>
      </c>
      <c r="H9" s="548">
        <v>25671</v>
      </c>
    </row>
    <row r="10" spans="1:8" ht="12">
      <c r="A10" s="298" t="s">
        <v>287</v>
      </c>
      <c r="B10" s="299" t="s">
        <v>288</v>
      </c>
      <c r="C10" s="46">
        <f>107869-73+5</f>
        <v>107801</v>
      </c>
      <c r="D10" s="46">
        <v>51361</v>
      </c>
      <c r="E10" s="298" t="s">
        <v>289</v>
      </c>
      <c r="F10" s="547" t="s">
        <v>290</v>
      </c>
      <c r="G10" s="548">
        <v>91330</v>
      </c>
      <c r="H10" s="548">
        <v>27735</v>
      </c>
    </row>
    <row r="11" spans="1:8" ht="12">
      <c r="A11" s="298" t="s">
        <v>291</v>
      </c>
      <c r="B11" s="299" t="s">
        <v>292</v>
      </c>
      <c r="C11" s="46">
        <v>18372</v>
      </c>
      <c r="D11" s="46">
        <v>9333</v>
      </c>
      <c r="E11" s="300" t="s">
        <v>293</v>
      </c>
      <c r="F11" s="547" t="s">
        <v>294</v>
      </c>
      <c r="G11" s="548">
        <f>180370+410</f>
        <v>180780</v>
      </c>
      <c r="H11" s="548">
        <v>69700</v>
      </c>
    </row>
    <row r="12" spans="1:8" ht="12">
      <c r="A12" s="298" t="s">
        <v>295</v>
      </c>
      <c r="B12" s="299" t="s">
        <v>296</v>
      </c>
      <c r="C12" s="46">
        <v>37309</v>
      </c>
      <c r="D12" s="46">
        <v>20187</v>
      </c>
      <c r="E12" s="300" t="s">
        <v>78</v>
      </c>
      <c r="F12" s="547" t="s">
        <v>297</v>
      </c>
      <c r="G12" s="548">
        <f>162+18927+7</f>
        <v>19096</v>
      </c>
      <c r="H12" s="548">
        <v>24826</v>
      </c>
    </row>
    <row r="13" spans="1:18" ht="12">
      <c r="A13" s="298" t="s">
        <v>298</v>
      </c>
      <c r="B13" s="299" t="s">
        <v>299</v>
      </c>
      <c r="C13" s="46">
        <v>8720</v>
      </c>
      <c r="D13" s="46">
        <v>5672</v>
      </c>
      <c r="E13" s="301" t="s">
        <v>51</v>
      </c>
      <c r="F13" s="549" t="s">
        <v>300</v>
      </c>
      <c r="G13" s="546">
        <f>SUM(G9:G12)</f>
        <v>307807</v>
      </c>
      <c r="H13" s="546">
        <f>SUM(H9:H12)</f>
        <v>147932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301</v>
      </c>
      <c r="B14" s="299" t="s">
        <v>302</v>
      </c>
      <c r="C14" s="46">
        <f>70791+1154</f>
        <v>71945</v>
      </c>
      <c r="D14" s="46">
        <v>23889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>
        <v>0</v>
      </c>
      <c r="H15" s="548"/>
    </row>
    <row r="16" spans="1:8" ht="12">
      <c r="A16" s="298" t="s">
        <v>307</v>
      </c>
      <c r="B16" s="299" t="s">
        <v>308</v>
      </c>
      <c r="C16" s="47">
        <f>21322-632+5637</f>
        <v>26327</v>
      </c>
      <c r="D16" s="47">
        <v>28535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5637</v>
      </c>
      <c r="D17" s="48">
        <v>10105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352413</v>
      </c>
      <c r="D19" s="49">
        <f>SUM(D9:D15)+D16</f>
        <v>176335</v>
      </c>
      <c r="E19" s="304" t="s">
        <v>317</v>
      </c>
      <c r="F19" s="550" t="s">
        <v>318</v>
      </c>
      <c r="G19" s="548">
        <v>59853</v>
      </c>
      <c r="H19" s="548">
        <v>40363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115526</v>
      </c>
      <c r="H21" s="548">
        <v>88757</v>
      </c>
    </row>
    <row r="22" spans="1:8" ht="24">
      <c r="A22" s="304" t="s">
        <v>324</v>
      </c>
      <c r="B22" s="305" t="s">
        <v>325</v>
      </c>
      <c r="C22" s="46">
        <v>27225</v>
      </c>
      <c r="D22" s="46">
        <v>19205</v>
      </c>
      <c r="E22" s="304" t="s">
        <v>326</v>
      </c>
      <c r="F22" s="550" t="s">
        <v>327</v>
      </c>
      <c r="G22" s="548">
        <v>1123328</v>
      </c>
      <c r="H22" s="548">
        <v>544393</v>
      </c>
    </row>
    <row r="23" spans="1:8" ht="24">
      <c r="A23" s="298" t="s">
        <v>328</v>
      </c>
      <c r="B23" s="305" t="s">
        <v>329</v>
      </c>
      <c r="C23" s="46">
        <v>59300</v>
      </c>
      <c r="D23" s="46">
        <v>25365</v>
      </c>
      <c r="E23" s="298" t="s">
        <v>330</v>
      </c>
      <c r="F23" s="550" t="s">
        <v>331</v>
      </c>
      <c r="G23" s="548">
        <v>167684</v>
      </c>
      <c r="H23" s="548">
        <v>99834</v>
      </c>
    </row>
    <row r="24" spans="1:18" ht="24">
      <c r="A24" s="298" t="s">
        <v>332</v>
      </c>
      <c r="B24" s="305" t="s">
        <v>333</v>
      </c>
      <c r="C24" s="46">
        <v>1121302</v>
      </c>
      <c r="D24" s="46">
        <v>543429</v>
      </c>
      <c r="E24" s="301" t="s">
        <v>103</v>
      </c>
      <c r="F24" s="552" t="s">
        <v>334</v>
      </c>
      <c r="G24" s="546">
        <f>SUM(G19:G23)</f>
        <v>1466391</v>
      </c>
      <c r="H24" s="546">
        <f>SUM(H19:H23)</f>
        <v>773347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f>555+136685+2234+9</f>
        <v>139483</v>
      </c>
      <c r="D25" s="46">
        <v>84831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1347310</v>
      </c>
      <c r="D26" s="49">
        <f>SUM(D22:D25)</f>
        <v>672830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337</v>
      </c>
      <c r="B28" s="293" t="s">
        <v>338</v>
      </c>
      <c r="C28" s="50">
        <f>C26+C19</f>
        <v>1699723</v>
      </c>
      <c r="D28" s="50">
        <f>D26+D19</f>
        <v>849165</v>
      </c>
      <c r="E28" s="127" t="s">
        <v>339</v>
      </c>
      <c r="F28" s="552" t="s">
        <v>340</v>
      </c>
      <c r="G28" s="546">
        <f>G13+G15+G24</f>
        <v>1774198</v>
      </c>
      <c r="H28" s="546">
        <f>H13+H15+H24</f>
        <v>921279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74475</v>
      </c>
      <c r="D30" s="50">
        <f>IF((H28-D28)&gt;0,H28-D28,0)</f>
        <v>72114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>
        <v>0</v>
      </c>
      <c r="D31" s="46">
        <v>275</v>
      </c>
      <c r="E31" s="296" t="s">
        <v>856</v>
      </c>
      <c r="F31" s="550" t="s">
        <v>346</v>
      </c>
      <c r="G31" s="548">
        <v>10</v>
      </c>
      <c r="H31" s="548">
        <v>0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1699723</v>
      </c>
      <c r="D33" s="49">
        <f>D28+D31+D32</f>
        <v>849440</v>
      </c>
      <c r="E33" s="127" t="s">
        <v>353</v>
      </c>
      <c r="F33" s="552" t="s">
        <v>354</v>
      </c>
      <c r="G33" s="53">
        <f>G32+G31+G28</f>
        <v>1774208</v>
      </c>
      <c r="H33" s="53">
        <f>H32+H31+H28</f>
        <v>921279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74485</v>
      </c>
      <c r="D34" s="50">
        <f>IF((H33-D33)&gt;0,H33-D33,0)</f>
        <v>71839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3815</v>
      </c>
      <c r="D35" s="49">
        <f>D36+D37+D38</f>
        <v>6950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361</v>
      </c>
      <c r="B36" s="305" t="s">
        <v>362</v>
      </c>
      <c r="C36" s="46">
        <v>3815</v>
      </c>
      <c r="D36" s="46">
        <v>6812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138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5"/>
      <c r="G38" s="551"/>
      <c r="H38" s="551"/>
    </row>
    <row r="39" spans="1:18" ht="24">
      <c r="A39" s="312" t="s">
        <v>367</v>
      </c>
      <c r="B39" s="129" t="s">
        <v>368</v>
      </c>
      <c r="C39" s="458">
        <f>+IF((G33-C33-C35)&gt;0,G33-C33-C35,0)</f>
        <v>70670</v>
      </c>
      <c r="D39" s="458">
        <f>+IF((H33-D33-D35)&gt;0,H33-D33-D35,0)</f>
        <v>64889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5455</v>
      </c>
      <c r="D40" s="51">
        <v>4528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65215</v>
      </c>
      <c r="D41" s="52">
        <f>IF(H39=0,IF(D39-D40&gt;0,D39-D40+H40,0),IF(H39-H40&lt;0,H40-H39+D39,0))</f>
        <v>60361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1774208</v>
      </c>
      <c r="D42" s="53">
        <f>D33+D35+D39</f>
        <v>921279</v>
      </c>
      <c r="E42" s="128" t="s">
        <v>380</v>
      </c>
      <c r="F42" s="129" t="s">
        <v>381</v>
      </c>
      <c r="G42" s="53">
        <f>G39+G33</f>
        <v>1774208</v>
      </c>
      <c r="H42" s="53">
        <f>H39+H33</f>
        <v>921279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4">
        <v>39690</v>
      </c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783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SheetLayoutView="100" workbookViewId="0" topLeftCell="A7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"Химимпорт" АД</v>
      </c>
      <c r="C4" s="539" t="s">
        <v>2</v>
      </c>
      <c r="D4" s="539">
        <f>'справка №1-БАЛАНС'!H3</f>
        <v>627519</v>
      </c>
      <c r="E4" s="323"/>
      <c r="F4" s="323"/>
    </row>
    <row r="5" spans="1:4" ht="15">
      <c r="A5" s="468" t="s">
        <v>275</v>
      </c>
      <c r="B5" s="468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39629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57732+421006+17639+11512710+55047</f>
        <v>12064134</v>
      </c>
      <c r="D10" s="54">
        <f>85683+161793+11147+11213858+34295</f>
        <v>11506776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-27594-351879-2222-11602425-25784</f>
        <v>-12009904</v>
      </c>
      <c r="D11" s="54">
        <f>-35032-11201901-1212-107692-84491</f>
        <v>-11430328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>
        <f>79357-58669</f>
        <v>20688</v>
      </c>
      <c r="D12" s="54">
        <f>18758-22210</f>
        <v>-3452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-44432</v>
      </c>
      <c r="D13" s="54">
        <v>-13257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-3808</v>
      </c>
      <c r="D14" s="54">
        <v>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-6956</v>
      </c>
      <c r="D15" s="54">
        <v>-4472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>
        <v>-2956</v>
      </c>
      <c r="D17" s="54">
        <v>-689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112</v>
      </c>
      <c r="D18" s="54">
        <v>146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85</v>
      </c>
      <c r="D19" s="54">
        <f>333-316-689+1426+178+146</f>
        <v>1078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16963</v>
      </c>
      <c r="D20" s="55">
        <f>SUM(D10:D19)</f>
        <v>55841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f>-53679-147</f>
        <v>-53826</v>
      </c>
      <c r="D22" s="54">
        <v>-40230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2646</v>
      </c>
      <c r="D23" s="54">
        <v>41205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-26066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2729</v>
      </c>
      <c r="D26" s="54">
        <v>74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f>-40192</f>
        <v>-40192</v>
      </c>
      <c r="D27" s="54">
        <f>-31342-6158</f>
        <v>-37500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16326</v>
      </c>
      <c r="D28" s="54">
        <v>309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-47713</v>
      </c>
      <c r="D31" s="54">
        <f>-1783+10228</f>
        <v>8445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-146096</v>
      </c>
      <c r="D32" s="55">
        <f>SUM(D22:D31)</f>
        <v>-27697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101161</v>
      </c>
      <c r="D36" s="54">
        <v>5811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-104030</v>
      </c>
      <c r="D37" s="54">
        <v>-11499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-3713</v>
      </c>
      <c r="D38" s="54">
        <v>-1133</v>
      </c>
      <c r="E38" s="130"/>
      <c r="F38" s="130"/>
    </row>
    <row r="39" spans="1:6" ht="12">
      <c r="A39" s="332" t="s">
        <v>443</v>
      </c>
      <c r="B39" s="333" t="s">
        <v>444</v>
      </c>
      <c r="C39" s="54">
        <v>-6658</v>
      </c>
      <c r="D39" s="54">
        <v>-596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-1182</v>
      </c>
      <c r="D41" s="54">
        <v>0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-14422</v>
      </c>
      <c r="D42" s="55">
        <f>SUM(D34:D41)</f>
        <v>-7417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-143555</v>
      </c>
      <c r="D43" s="55">
        <f>D42+D32+D20</f>
        <v>20727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748869</v>
      </c>
      <c r="D44" s="132">
        <v>366548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605314</v>
      </c>
      <c r="D45" s="55">
        <f>D44+D43</f>
        <v>387275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600125</v>
      </c>
      <c r="D46" s="56">
        <f>387275-3273</f>
        <v>384002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5189</v>
      </c>
      <c r="D47" s="56">
        <v>3273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575">
        <v>39690</v>
      </c>
      <c r="B50" s="436" t="s">
        <v>383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21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5">
      <selection activeCell="A39" sqref="A39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80" t="s">
        <v>461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2" t="str">
        <f>'справка №1-БАЛАНС'!E3</f>
        <v>"Химимпорт" АД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627519</v>
      </c>
      <c r="N3" s="2"/>
    </row>
    <row r="4" spans="1:15" s="530" customFormat="1" ht="13.5" customHeight="1">
      <c r="A4" s="465" t="s">
        <v>462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6">
        <f>'справка №1-БАЛАНС'!E5</f>
        <v>39629</v>
      </c>
      <c r="C5" s="596"/>
      <c r="D5" s="596"/>
      <c r="E5" s="596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150000</v>
      </c>
      <c r="D11" s="58">
        <f>'справка №1-БАЛАНС'!H19</f>
        <v>232343</v>
      </c>
      <c r="E11" s="58">
        <f>'справка №1-БАЛАНС'!H20</f>
        <v>0</v>
      </c>
      <c r="F11" s="58">
        <f>'справка №1-БАЛАНС'!H22</f>
        <v>2403</v>
      </c>
      <c r="G11" s="58">
        <f>'справка №1-БАЛАНС'!H23</f>
        <v>0</v>
      </c>
      <c r="H11" s="60">
        <v>1275</v>
      </c>
      <c r="I11" s="58">
        <f>'справка №1-БАЛАНС'!H28+'справка №1-БАЛАНС'!H31</f>
        <v>243697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629718</v>
      </c>
      <c r="M11" s="58">
        <f>'справка №1-БАЛАНС'!H39</f>
        <v>179877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150000</v>
      </c>
      <c r="D15" s="61">
        <f aca="true" t="shared" si="2" ref="D15:M15">D11+D12</f>
        <v>232343</v>
      </c>
      <c r="E15" s="61">
        <f t="shared" si="2"/>
        <v>0</v>
      </c>
      <c r="F15" s="61">
        <f t="shared" si="2"/>
        <v>2403</v>
      </c>
      <c r="G15" s="61">
        <f t="shared" si="2"/>
        <v>0</v>
      </c>
      <c r="H15" s="61">
        <f t="shared" si="2"/>
        <v>1275</v>
      </c>
      <c r="I15" s="61">
        <f t="shared" si="2"/>
        <v>243697</v>
      </c>
      <c r="J15" s="61">
        <f t="shared" si="2"/>
        <v>0</v>
      </c>
      <c r="K15" s="61">
        <f t="shared" si="2"/>
        <v>0</v>
      </c>
      <c r="L15" s="344">
        <f t="shared" si="1"/>
        <v>629718</v>
      </c>
      <c r="M15" s="61">
        <f t="shared" si="2"/>
        <v>179877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65215</v>
      </c>
      <c r="J16" s="345">
        <f>+'справка №1-БАЛАНС'!G32</f>
        <v>0</v>
      </c>
      <c r="K16" s="60"/>
      <c r="L16" s="344">
        <f t="shared" si="1"/>
        <v>65215</v>
      </c>
      <c r="M16" s="60">
        <f>'справка №2-ОТЧЕТ ЗА ДОХОДИТ '!C40</f>
        <v>5455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>
        <v>-1202</v>
      </c>
      <c r="I28" s="60"/>
      <c r="J28" s="60"/>
      <c r="K28" s="60"/>
      <c r="L28" s="344">
        <f t="shared" si="1"/>
        <v>-1202</v>
      </c>
      <c r="M28" s="60">
        <v>-3911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150000</v>
      </c>
      <c r="D29" s="59">
        <f aca="true" t="shared" si="6" ref="D29:M29">D17+D20+D21+D24+D28+D27+D15+D16</f>
        <v>232343</v>
      </c>
      <c r="E29" s="59">
        <f t="shared" si="6"/>
        <v>0</v>
      </c>
      <c r="F29" s="59">
        <f t="shared" si="6"/>
        <v>2403</v>
      </c>
      <c r="G29" s="59">
        <f t="shared" si="6"/>
        <v>0</v>
      </c>
      <c r="H29" s="59">
        <f t="shared" si="6"/>
        <v>73</v>
      </c>
      <c r="I29" s="59">
        <f t="shared" si="6"/>
        <v>308912</v>
      </c>
      <c r="J29" s="59">
        <f t="shared" si="6"/>
        <v>0</v>
      </c>
      <c r="K29" s="59">
        <f t="shared" si="6"/>
        <v>0</v>
      </c>
      <c r="L29" s="344">
        <f t="shared" si="1"/>
        <v>693731</v>
      </c>
      <c r="M29" s="59">
        <f t="shared" si="6"/>
        <v>181421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150000</v>
      </c>
      <c r="D32" s="59">
        <f t="shared" si="7"/>
        <v>232343</v>
      </c>
      <c r="E32" s="59">
        <f t="shared" si="7"/>
        <v>0</v>
      </c>
      <c r="F32" s="59">
        <f t="shared" si="7"/>
        <v>2403</v>
      </c>
      <c r="G32" s="59">
        <f t="shared" si="7"/>
        <v>0</v>
      </c>
      <c r="H32" s="59">
        <f t="shared" si="7"/>
        <v>73</v>
      </c>
      <c r="I32" s="59">
        <f t="shared" si="7"/>
        <v>308912</v>
      </c>
      <c r="J32" s="59">
        <f t="shared" si="7"/>
        <v>0</v>
      </c>
      <c r="K32" s="59">
        <f t="shared" si="7"/>
        <v>0</v>
      </c>
      <c r="L32" s="344">
        <f t="shared" si="1"/>
        <v>693731</v>
      </c>
      <c r="M32" s="59">
        <f>M29+M30+M31</f>
        <v>181421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876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SheetLayoutView="100"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385</v>
      </c>
      <c r="B2" s="610"/>
      <c r="C2" s="611" t="str">
        <f>'справка №1-БАЛАНС'!E3</f>
        <v>"Химимпорт" АД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627519</v>
      </c>
      <c r="P2" s="481"/>
      <c r="Q2" s="481"/>
      <c r="R2" s="524"/>
    </row>
    <row r="3" spans="1:18" ht="15">
      <c r="A3" s="609" t="s">
        <v>5</v>
      </c>
      <c r="B3" s="610"/>
      <c r="C3" s="612">
        <f>'справка №1-БАЛАНС'!E5</f>
        <v>39629</v>
      </c>
      <c r="D3" s="612"/>
      <c r="E3" s="612"/>
      <c r="F3" s="483"/>
      <c r="G3" s="483"/>
      <c r="H3" s="483"/>
      <c r="I3" s="483"/>
      <c r="J3" s="483"/>
      <c r="K3" s="483"/>
      <c r="L3" s="483"/>
      <c r="M3" s="601" t="s">
        <v>4</v>
      </c>
      <c r="N3" s="601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525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9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9" t="s">
        <v>531</v>
      </c>
      <c r="R5" s="599" t="s">
        <v>532</v>
      </c>
    </row>
    <row r="6" spans="1:18" s="100" customFormat="1" ht="60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0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0"/>
      <c r="R6" s="600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87638</v>
      </c>
      <c r="E9" s="189">
        <f>10624+231</f>
        <v>10855</v>
      </c>
      <c r="F9" s="189">
        <v>203</v>
      </c>
      <c r="G9" s="74">
        <f>D9+E9-F9</f>
        <v>98290</v>
      </c>
      <c r="H9" s="65"/>
      <c r="I9" s="65"/>
      <c r="J9" s="74">
        <f>G9+H9-I9</f>
        <v>98290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98290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122164</v>
      </c>
      <c r="E10" s="189">
        <f>10606+4262</f>
        <v>14868</v>
      </c>
      <c r="F10" s="189">
        <v>526</v>
      </c>
      <c r="G10" s="74">
        <f aca="true" t="shared" si="2" ref="G10:G39">D10+E10-F10</f>
        <v>136506</v>
      </c>
      <c r="H10" s="65"/>
      <c r="I10" s="65"/>
      <c r="J10" s="74">
        <f aca="true" t="shared" si="3" ref="J10:J39">G10+H10-I10</f>
        <v>136506</v>
      </c>
      <c r="K10" s="65">
        <v>14438</v>
      </c>
      <c r="L10" s="65">
        <f>793+1664</f>
        <v>2457</v>
      </c>
      <c r="M10" s="65">
        <v>30</v>
      </c>
      <c r="N10" s="74">
        <f aca="true" t="shared" si="4" ref="N10:N39">K10+L10-M10</f>
        <v>16865</v>
      </c>
      <c r="O10" s="65"/>
      <c r="P10" s="65"/>
      <c r="Q10" s="74">
        <f t="shared" si="0"/>
        <v>16865</v>
      </c>
      <c r="R10" s="74">
        <f t="shared" si="1"/>
        <v>119641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64784</v>
      </c>
      <c r="E11" s="189">
        <f>1308+6591</f>
        <v>7899</v>
      </c>
      <c r="F11" s="189">
        <f>11503+2198</f>
        <v>13701</v>
      </c>
      <c r="G11" s="74">
        <f t="shared" si="2"/>
        <v>58982</v>
      </c>
      <c r="H11" s="65"/>
      <c r="I11" s="65"/>
      <c r="J11" s="74">
        <f t="shared" si="3"/>
        <v>58982</v>
      </c>
      <c r="K11" s="65">
        <v>21823</v>
      </c>
      <c r="L11" s="65">
        <f>4351+103</f>
        <v>4454</v>
      </c>
      <c r="M11" s="65">
        <v>233</v>
      </c>
      <c r="N11" s="74">
        <f t="shared" si="4"/>
        <v>26044</v>
      </c>
      <c r="O11" s="65"/>
      <c r="P11" s="65"/>
      <c r="Q11" s="74">
        <f t="shared" si="0"/>
        <v>26044</v>
      </c>
      <c r="R11" s="74">
        <f t="shared" si="1"/>
        <v>32938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80649</v>
      </c>
      <c r="E12" s="189">
        <f>3071+6905</f>
        <v>9976</v>
      </c>
      <c r="F12" s="189">
        <v>29</v>
      </c>
      <c r="G12" s="74">
        <f t="shared" si="2"/>
        <v>90596</v>
      </c>
      <c r="H12" s="65"/>
      <c r="I12" s="65"/>
      <c r="J12" s="74">
        <f t="shared" si="3"/>
        <v>90596</v>
      </c>
      <c r="K12" s="65">
        <v>14772</v>
      </c>
      <c r="L12" s="65">
        <f>1725</f>
        <v>1725</v>
      </c>
      <c r="M12" s="65">
        <v>23</v>
      </c>
      <c r="N12" s="74">
        <f t="shared" si="4"/>
        <v>16474</v>
      </c>
      <c r="O12" s="65"/>
      <c r="P12" s="65"/>
      <c r="Q12" s="74">
        <f t="shared" si="0"/>
        <v>16474</v>
      </c>
      <c r="R12" s="74">
        <f t="shared" si="1"/>
        <v>74122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85572</v>
      </c>
      <c r="E13" s="189">
        <f>4981+16933</f>
        <v>21914</v>
      </c>
      <c r="F13" s="189">
        <v>237</v>
      </c>
      <c r="G13" s="74">
        <f t="shared" si="2"/>
        <v>107249</v>
      </c>
      <c r="H13" s="65"/>
      <c r="I13" s="65"/>
      <c r="J13" s="74">
        <f t="shared" si="3"/>
        <v>107249</v>
      </c>
      <c r="K13" s="65">
        <v>27989</v>
      </c>
      <c r="L13" s="65">
        <f>1313+3853</f>
        <v>5166</v>
      </c>
      <c r="M13" s="65">
        <v>142</v>
      </c>
      <c r="N13" s="74">
        <f t="shared" si="4"/>
        <v>33013</v>
      </c>
      <c r="O13" s="65"/>
      <c r="P13" s="65"/>
      <c r="Q13" s="74">
        <f t="shared" si="0"/>
        <v>33013</v>
      </c>
      <c r="R13" s="74">
        <f t="shared" si="1"/>
        <v>74236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3" t="s">
        <v>860</v>
      </c>
      <c r="B15" s="374" t="s">
        <v>861</v>
      </c>
      <c r="C15" s="454" t="s">
        <v>862</v>
      </c>
      <c r="D15" s="455">
        <v>67695</v>
      </c>
      <c r="E15" s="455">
        <f>5188+38200</f>
        <v>43388</v>
      </c>
      <c r="F15" s="455">
        <f>22338+9079</f>
        <v>31417</v>
      </c>
      <c r="G15" s="74">
        <f t="shared" si="2"/>
        <v>79666</v>
      </c>
      <c r="H15" s="456"/>
      <c r="I15" s="456"/>
      <c r="J15" s="74">
        <f t="shared" si="3"/>
        <v>79666</v>
      </c>
      <c r="K15" s="456">
        <v>0</v>
      </c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79666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25180</v>
      </c>
      <c r="E16" s="189">
        <f>1907+957</f>
        <v>2864</v>
      </c>
      <c r="F16" s="189">
        <v>51</v>
      </c>
      <c r="G16" s="74">
        <f t="shared" si="2"/>
        <v>27993</v>
      </c>
      <c r="H16" s="65"/>
      <c r="I16" s="65"/>
      <c r="J16" s="74">
        <f t="shared" si="3"/>
        <v>27993</v>
      </c>
      <c r="K16" s="65">
        <v>20375</v>
      </c>
      <c r="L16" s="65">
        <f>485+463</f>
        <v>948</v>
      </c>
      <c r="M16" s="65">
        <v>40</v>
      </c>
      <c r="N16" s="74">
        <f t="shared" si="4"/>
        <v>21283</v>
      </c>
      <c r="O16" s="65"/>
      <c r="P16" s="65"/>
      <c r="Q16" s="74">
        <f aca="true" t="shared" si="5" ref="Q16:Q25">N16+O16-P16</f>
        <v>21283</v>
      </c>
      <c r="R16" s="74">
        <f aca="true" t="shared" si="6" ref="R16:R25">J16-Q16</f>
        <v>6710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533682</v>
      </c>
      <c r="E17" s="194">
        <f>SUM(E9:E16)</f>
        <v>111764</v>
      </c>
      <c r="F17" s="194">
        <f>SUM(F9:F16)</f>
        <v>46164</v>
      </c>
      <c r="G17" s="74">
        <f t="shared" si="2"/>
        <v>599282</v>
      </c>
      <c r="H17" s="75">
        <f>SUM(H9:H16)</f>
        <v>0</v>
      </c>
      <c r="I17" s="75">
        <f>SUM(I9:I16)</f>
        <v>0</v>
      </c>
      <c r="J17" s="74">
        <f t="shared" si="3"/>
        <v>599282</v>
      </c>
      <c r="K17" s="75">
        <f>SUM(K9:K16)</f>
        <v>99397</v>
      </c>
      <c r="L17" s="75">
        <f>SUM(L9:L16)</f>
        <v>14750</v>
      </c>
      <c r="M17" s="75">
        <f>SUM(M9:M16)</f>
        <v>468</v>
      </c>
      <c r="N17" s="74">
        <f t="shared" si="4"/>
        <v>113679</v>
      </c>
      <c r="O17" s="75">
        <f>SUM(O9:O16)</f>
        <v>0</v>
      </c>
      <c r="P17" s="75">
        <f>SUM(P9:P16)</f>
        <v>0</v>
      </c>
      <c r="Q17" s="74">
        <f t="shared" si="5"/>
        <v>113679</v>
      </c>
      <c r="R17" s="74">
        <f t="shared" si="6"/>
        <v>485603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19503</v>
      </c>
      <c r="E18" s="187">
        <v>4005</v>
      </c>
      <c r="F18" s="187">
        <v>661</v>
      </c>
      <c r="G18" s="74">
        <f t="shared" si="2"/>
        <v>22847</v>
      </c>
      <c r="H18" s="63">
        <v>84</v>
      </c>
      <c r="I18" s="63"/>
      <c r="J18" s="74">
        <f t="shared" si="3"/>
        <v>22931</v>
      </c>
      <c r="K18" s="63">
        <v>1369</v>
      </c>
      <c r="L18" s="63">
        <f>151+8</f>
        <v>159</v>
      </c>
      <c r="M18" s="63">
        <v>2</v>
      </c>
      <c r="N18" s="74">
        <f t="shared" si="4"/>
        <v>1526</v>
      </c>
      <c r="O18" s="63"/>
      <c r="P18" s="63"/>
      <c r="Q18" s="74">
        <f t="shared" si="5"/>
        <v>1526</v>
      </c>
      <c r="R18" s="74">
        <f t="shared" si="6"/>
        <v>21405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35749</v>
      </c>
      <c r="E21" s="189">
        <f>205+834+40</f>
        <v>1079</v>
      </c>
      <c r="F21" s="189"/>
      <c r="G21" s="74">
        <f t="shared" si="2"/>
        <v>36828</v>
      </c>
      <c r="H21" s="65"/>
      <c r="I21" s="65"/>
      <c r="J21" s="74">
        <f t="shared" si="3"/>
        <v>36828</v>
      </c>
      <c r="K21" s="65">
        <v>5673</v>
      </c>
      <c r="L21" s="65">
        <f>267+1615+39</f>
        <v>1921</v>
      </c>
      <c r="M21" s="65"/>
      <c r="N21" s="74">
        <f t="shared" si="4"/>
        <v>7594</v>
      </c>
      <c r="O21" s="65"/>
      <c r="P21" s="65"/>
      <c r="Q21" s="74">
        <f t="shared" si="5"/>
        <v>7594</v>
      </c>
      <c r="R21" s="74">
        <f t="shared" si="6"/>
        <v>29234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989</v>
      </c>
      <c r="E22" s="189">
        <v>528</v>
      </c>
      <c r="F22" s="189">
        <v>1</v>
      </c>
      <c r="G22" s="74">
        <f t="shared" si="2"/>
        <v>1516</v>
      </c>
      <c r="H22" s="65"/>
      <c r="I22" s="65"/>
      <c r="J22" s="74">
        <f t="shared" si="3"/>
        <v>1516</v>
      </c>
      <c r="K22" s="65">
        <v>677</v>
      </c>
      <c r="L22" s="65">
        <v>80</v>
      </c>
      <c r="M22" s="65">
        <v>1</v>
      </c>
      <c r="N22" s="74">
        <f t="shared" si="4"/>
        <v>756</v>
      </c>
      <c r="O22" s="65"/>
      <c r="P22" s="65"/>
      <c r="Q22" s="74">
        <f t="shared" si="5"/>
        <v>756</v>
      </c>
      <c r="R22" s="74">
        <f t="shared" si="6"/>
        <v>760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52</v>
      </c>
      <c r="E23" s="189"/>
      <c r="F23" s="189"/>
      <c r="G23" s="74">
        <f t="shared" si="2"/>
        <v>52</v>
      </c>
      <c r="H23" s="65"/>
      <c r="I23" s="65"/>
      <c r="J23" s="74">
        <f t="shared" si="3"/>
        <v>52</v>
      </c>
      <c r="K23" s="65">
        <v>52</v>
      </c>
      <c r="L23" s="65"/>
      <c r="M23" s="65"/>
      <c r="N23" s="74">
        <f t="shared" si="4"/>
        <v>52</v>
      </c>
      <c r="O23" s="65"/>
      <c r="P23" s="65"/>
      <c r="Q23" s="74">
        <f t="shared" si="5"/>
        <v>52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23014</v>
      </c>
      <c r="E24" s="189">
        <f>5855+6191</f>
        <v>12046</v>
      </c>
      <c r="F24" s="189">
        <v>28</v>
      </c>
      <c r="G24" s="74">
        <f t="shared" si="2"/>
        <v>35032</v>
      </c>
      <c r="H24" s="65"/>
      <c r="I24" s="65"/>
      <c r="J24" s="74">
        <f t="shared" si="3"/>
        <v>35032</v>
      </c>
      <c r="K24" s="65">
        <v>3333</v>
      </c>
      <c r="L24" s="65">
        <f>2465+98</f>
        <v>2563</v>
      </c>
      <c r="M24" s="65">
        <v>1</v>
      </c>
      <c r="N24" s="74">
        <f t="shared" si="4"/>
        <v>5895</v>
      </c>
      <c r="O24" s="65"/>
      <c r="P24" s="65"/>
      <c r="Q24" s="74">
        <f t="shared" si="5"/>
        <v>5895</v>
      </c>
      <c r="R24" s="74">
        <f t="shared" si="6"/>
        <v>29137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59804</v>
      </c>
      <c r="E25" s="190">
        <f aca="true" t="shared" si="7" ref="E25:P25">SUM(E21:E24)</f>
        <v>13653</v>
      </c>
      <c r="F25" s="190">
        <f t="shared" si="7"/>
        <v>29</v>
      </c>
      <c r="G25" s="67">
        <f t="shared" si="2"/>
        <v>73428</v>
      </c>
      <c r="H25" s="66">
        <f t="shared" si="7"/>
        <v>0</v>
      </c>
      <c r="I25" s="66">
        <f t="shared" si="7"/>
        <v>0</v>
      </c>
      <c r="J25" s="67">
        <f t="shared" si="3"/>
        <v>73428</v>
      </c>
      <c r="K25" s="66">
        <f t="shared" si="7"/>
        <v>9735</v>
      </c>
      <c r="L25" s="66">
        <f t="shared" si="7"/>
        <v>4564</v>
      </c>
      <c r="M25" s="66">
        <f t="shared" si="7"/>
        <v>2</v>
      </c>
      <c r="N25" s="67">
        <f t="shared" si="4"/>
        <v>14297</v>
      </c>
      <c r="O25" s="66">
        <f t="shared" si="7"/>
        <v>0</v>
      </c>
      <c r="P25" s="66">
        <f t="shared" si="7"/>
        <v>0</v>
      </c>
      <c r="Q25" s="67">
        <f t="shared" si="5"/>
        <v>14297</v>
      </c>
      <c r="R25" s="67">
        <f t="shared" si="6"/>
        <v>59131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854</v>
      </c>
      <c r="C27" s="380" t="s">
        <v>587</v>
      </c>
      <c r="D27" s="192">
        <f>SUM(D28:D31)</f>
        <v>26272</v>
      </c>
      <c r="E27" s="192">
        <f aca="true" t="shared" si="8" ref="E27:P27">SUM(E28:E31)</f>
        <v>91419</v>
      </c>
      <c r="F27" s="192">
        <f t="shared" si="8"/>
        <v>7112</v>
      </c>
      <c r="G27" s="71">
        <f t="shared" si="2"/>
        <v>110579</v>
      </c>
      <c r="H27" s="70">
        <f t="shared" si="8"/>
        <v>0</v>
      </c>
      <c r="I27" s="70">
        <f t="shared" si="8"/>
        <v>0</v>
      </c>
      <c r="J27" s="71">
        <f t="shared" si="3"/>
        <v>110579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110579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26272</v>
      </c>
      <c r="E30" s="189">
        <f>91535-116</f>
        <v>91419</v>
      </c>
      <c r="F30" s="189">
        <f>6436+676</f>
        <v>7112</v>
      </c>
      <c r="G30" s="74">
        <f t="shared" si="2"/>
        <v>110579</v>
      </c>
      <c r="H30" s="72"/>
      <c r="I30" s="72"/>
      <c r="J30" s="74">
        <f t="shared" si="3"/>
        <v>110579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110579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674587</v>
      </c>
      <c r="E37" s="189">
        <v>155045</v>
      </c>
      <c r="F37" s="189">
        <v>0</v>
      </c>
      <c r="G37" s="74">
        <f t="shared" si="2"/>
        <v>829632</v>
      </c>
      <c r="H37" s="72"/>
      <c r="I37" s="72"/>
      <c r="J37" s="74">
        <f t="shared" si="3"/>
        <v>829632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829632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603</v>
      </c>
      <c r="D38" s="194">
        <f>D27+D32+D37</f>
        <v>700859</v>
      </c>
      <c r="E38" s="194">
        <f aca="true" t="shared" si="12" ref="E38:P38">E27+E32+E37</f>
        <v>246464</v>
      </c>
      <c r="F38" s="194">
        <f t="shared" si="12"/>
        <v>7112</v>
      </c>
      <c r="G38" s="74">
        <f t="shared" si="2"/>
        <v>940211</v>
      </c>
      <c r="H38" s="75">
        <f t="shared" si="12"/>
        <v>0</v>
      </c>
      <c r="I38" s="75">
        <f t="shared" si="12"/>
        <v>0</v>
      </c>
      <c r="J38" s="74">
        <f t="shared" si="3"/>
        <v>940211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940211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10822</v>
      </c>
      <c r="E39" s="570">
        <v>6597</v>
      </c>
      <c r="F39" s="570">
        <v>0</v>
      </c>
      <c r="G39" s="74">
        <f t="shared" si="2"/>
        <v>17419</v>
      </c>
      <c r="H39" s="570"/>
      <c r="I39" s="570"/>
      <c r="J39" s="74">
        <f t="shared" si="3"/>
        <v>17419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17419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1324670</v>
      </c>
      <c r="E40" s="438">
        <f>E17+E18+E19+E25+E38+E39</f>
        <v>382483</v>
      </c>
      <c r="F40" s="438">
        <f aca="true" t="shared" si="13" ref="F40:R40">F17+F18+F19+F25+F38+F39</f>
        <v>53966</v>
      </c>
      <c r="G40" s="438">
        <f t="shared" si="13"/>
        <v>1653187</v>
      </c>
      <c r="H40" s="438">
        <f t="shared" si="13"/>
        <v>84</v>
      </c>
      <c r="I40" s="438">
        <f t="shared" si="13"/>
        <v>0</v>
      </c>
      <c r="J40" s="438">
        <f t="shared" si="13"/>
        <v>1653271</v>
      </c>
      <c r="K40" s="438">
        <f t="shared" si="13"/>
        <v>110501</v>
      </c>
      <c r="L40" s="438">
        <f t="shared" si="13"/>
        <v>19473</v>
      </c>
      <c r="M40" s="438">
        <f t="shared" si="13"/>
        <v>472</v>
      </c>
      <c r="N40" s="438">
        <f t="shared" si="13"/>
        <v>129502</v>
      </c>
      <c r="O40" s="438">
        <f t="shared" si="13"/>
        <v>0</v>
      </c>
      <c r="P40" s="438">
        <f t="shared" si="13"/>
        <v>0</v>
      </c>
      <c r="Q40" s="438">
        <f t="shared" si="13"/>
        <v>129502</v>
      </c>
      <c r="R40" s="438">
        <f t="shared" si="13"/>
        <v>1523769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876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8"/>
      <c r="L44" s="608"/>
      <c r="M44" s="608"/>
      <c r="N44" s="608"/>
      <c r="O44" s="597" t="s">
        <v>783</v>
      </c>
      <c r="P44" s="598"/>
      <c r="Q44" s="598"/>
      <c r="R44" s="598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SheetLayoutView="100" workbookViewId="0" topLeftCell="A81">
      <selection activeCell="C111" sqref="A99:F111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611</v>
      </c>
      <c r="B1" s="616"/>
      <c r="C1" s="616"/>
      <c r="D1" s="616"/>
      <c r="E1" s="616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9" t="str">
        <f>'справка №1-БАЛАНС'!E3</f>
        <v>"Химимпорт" АД</v>
      </c>
      <c r="C3" s="620"/>
      <c r="D3" s="524" t="s">
        <v>2</v>
      </c>
      <c r="E3" s="107">
        <f>'справка №1-БАЛАНС'!H3</f>
        <v>627519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7">
        <f>'справка №1-БАЛАНС'!E5</f>
        <v>39629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612</v>
      </c>
      <c r="B5" s="494"/>
      <c r="C5" s="495"/>
      <c r="D5" s="107"/>
      <c r="E5" s="496" t="s">
        <v>613</v>
      </c>
    </row>
    <row r="6" spans="1:14" s="100" customFormat="1" ht="24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24">
      <c r="A10" s="393" t="s">
        <v>620</v>
      </c>
      <c r="B10" s="395"/>
      <c r="C10" s="104"/>
      <c r="D10" s="104"/>
      <c r="E10" s="120"/>
      <c r="F10" s="106"/>
    </row>
    <row r="11" spans="1:15" ht="24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>
        <v>0</v>
      </c>
      <c r="D14" s="108"/>
      <c r="E14" s="120">
        <f t="shared" si="0"/>
        <v>0</v>
      </c>
      <c r="F14" s="106"/>
    </row>
    <row r="15" spans="1:6" ht="24">
      <c r="A15" s="396" t="s">
        <v>629</v>
      </c>
      <c r="B15" s="397" t="s">
        <v>630</v>
      </c>
      <c r="C15" s="108">
        <f>10027-2043</f>
        <v>7984</v>
      </c>
      <c r="D15" s="108"/>
      <c r="E15" s="120">
        <f t="shared" si="0"/>
        <v>7984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7984</v>
      </c>
      <c r="D19" s="104">
        <f>D11+D15+D16</f>
        <v>0</v>
      </c>
      <c r="E19" s="118">
        <f>E11+E15+E16</f>
        <v>7984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2120</v>
      </c>
      <c r="D21" s="108"/>
      <c r="E21" s="120">
        <f t="shared" si="0"/>
        <v>2120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641</v>
      </c>
      <c r="B23" s="399"/>
      <c r="C23" s="119"/>
      <c r="D23" s="104"/>
      <c r="E23" s="120"/>
      <c r="F23" s="106"/>
    </row>
    <row r="24" spans="1:15" ht="24">
      <c r="A24" s="396" t="s">
        <v>642</v>
      </c>
      <c r="B24" s="397" t="s">
        <v>643</v>
      </c>
      <c r="C24" s="119">
        <f>SUM(C25:C27)</f>
        <v>52371</v>
      </c>
      <c r="D24" s="119">
        <f>SUM(D25:D27)</f>
        <v>52371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f>-745+53116</f>
        <v>52371</v>
      </c>
      <c r="D25" s="108">
        <v>52371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f>12814-10</f>
        <v>12804</v>
      </c>
      <c r="D28" s="108">
        <v>12804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13247</v>
      </c>
      <c r="D29" s="108">
        <v>13247</v>
      </c>
      <c r="E29" s="120">
        <f t="shared" si="0"/>
        <v>0</v>
      </c>
      <c r="F29" s="106"/>
    </row>
    <row r="30" spans="1:6" ht="24">
      <c r="A30" s="396" t="s">
        <v>654</v>
      </c>
      <c r="B30" s="397" t="s">
        <v>655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v>1693</v>
      </c>
      <c r="D31" s="108">
        <v>1693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11521</v>
      </c>
      <c r="D33" s="105">
        <f>SUM(D34:D37)</f>
        <v>11521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483</v>
      </c>
      <c r="D34" s="108">
        <v>483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7203</v>
      </c>
      <c r="D35" s="108">
        <v>7203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3835</v>
      </c>
      <c r="D37" s="108">
        <v>3835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97896</v>
      </c>
      <c r="D38" s="105">
        <f>SUM(D39:D42)</f>
        <v>97896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97896</v>
      </c>
      <c r="D42" s="108">
        <v>97896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189532</v>
      </c>
      <c r="D43" s="104">
        <f>D24+D28+D29+D31+D30+D32+D33+D38</f>
        <v>189532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199636</v>
      </c>
      <c r="D44" s="103">
        <f>D43+D21+D19+D9</f>
        <v>189532</v>
      </c>
      <c r="E44" s="118">
        <f>E43+E21+E19+E9</f>
        <v>10104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159385</v>
      </c>
      <c r="D52" s="103">
        <f>SUM(D53:D55)</f>
        <v>0</v>
      </c>
      <c r="E52" s="119">
        <f>C52-D52</f>
        <v>159385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>
        <v>159385</v>
      </c>
      <c r="D55" s="108"/>
      <c r="E55" s="119">
        <f t="shared" si="1"/>
        <v>159385</v>
      </c>
      <c r="F55" s="108"/>
    </row>
    <row r="56" spans="1:16" ht="36">
      <c r="A56" s="396" t="s">
        <v>696</v>
      </c>
      <c r="B56" s="397" t="s">
        <v>697</v>
      </c>
      <c r="C56" s="103">
        <f>C57+C59</f>
        <v>102038</v>
      </c>
      <c r="D56" s="103">
        <f>D57+D59</f>
        <v>0</v>
      </c>
      <c r="E56" s="119">
        <f t="shared" si="1"/>
        <v>102038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f>77031-1679-347</f>
        <v>75005</v>
      </c>
      <c r="D57" s="108"/>
      <c r="E57" s="119">
        <f t="shared" si="1"/>
        <v>75005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24">
      <c r="A59" s="406" t="s">
        <v>702</v>
      </c>
      <c r="B59" s="397" t="s">
        <v>703</v>
      </c>
      <c r="C59" s="108">
        <v>27033</v>
      </c>
      <c r="D59" s="108"/>
      <c r="E59" s="119">
        <f t="shared" si="1"/>
        <v>27033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f>587309+194-2699</f>
        <v>584804</v>
      </c>
      <c r="D64" s="108"/>
      <c r="E64" s="119">
        <f t="shared" si="1"/>
        <v>584804</v>
      </c>
      <c r="F64" s="110"/>
    </row>
    <row r="65" spans="1:6" ht="12">
      <c r="A65" s="396" t="s">
        <v>711</v>
      </c>
      <c r="B65" s="397" t="s">
        <v>712</v>
      </c>
      <c r="C65" s="109">
        <v>12125</v>
      </c>
      <c r="D65" s="109"/>
      <c r="E65" s="119">
        <f t="shared" si="1"/>
        <v>12125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846227</v>
      </c>
      <c r="D66" s="103">
        <f>D52+D56+D61+D62+D63+D64</f>
        <v>0</v>
      </c>
      <c r="E66" s="119">
        <f t="shared" si="1"/>
        <v>846227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11442</v>
      </c>
      <c r="D68" s="108">
        <v>0</v>
      </c>
      <c r="E68" s="119">
        <f t="shared" si="1"/>
        <v>11442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6712</v>
      </c>
      <c r="D71" s="105">
        <f>SUM(D72:D74)</f>
        <v>6712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6712</v>
      </c>
      <c r="D74" s="108">
        <v>6712</v>
      </c>
      <c r="E74" s="119">
        <f t="shared" si="1"/>
        <v>0</v>
      </c>
      <c r="F74" s="110"/>
    </row>
    <row r="75" spans="1:16" ht="36">
      <c r="A75" s="396" t="s">
        <v>696</v>
      </c>
      <c r="B75" s="397" t="s">
        <v>726</v>
      </c>
      <c r="C75" s="103">
        <f>C76+C78</f>
        <v>83749</v>
      </c>
      <c r="D75" s="103">
        <f>D76+D78</f>
        <v>83749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f>78393-3307</f>
        <v>75086</v>
      </c>
      <c r="D76" s="108">
        <v>75086</v>
      </c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>
        <f>44613-35950</f>
        <v>8663</v>
      </c>
      <c r="D78" s="108">
        <v>8663</v>
      </c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3468</v>
      </c>
      <c r="D80" s="103">
        <f>SUM(D81:D84)</f>
        <v>3468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>
        <f>6889-1933-1488</f>
        <v>3468</v>
      </c>
      <c r="D84" s="108">
        <v>3468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132304</v>
      </c>
      <c r="D85" s="104">
        <f>SUM(D86:D90)+D94</f>
        <v>132304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f>105331-133</f>
        <v>105198</v>
      </c>
      <c r="D87" s="108">
        <v>105198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>
        <v>7589</v>
      </c>
      <c r="D88" s="108">
        <v>7589</v>
      </c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9479</v>
      </c>
      <c r="D89" s="108">
        <v>9479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7242</v>
      </c>
      <c r="D90" s="103">
        <f>SUM(D91:D93)</f>
        <v>7242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3891</v>
      </c>
      <c r="D91" s="108">
        <v>3891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789</v>
      </c>
      <c r="D92" s="108">
        <v>789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2562</v>
      </c>
      <c r="D93" s="108">
        <v>2562</v>
      </c>
      <c r="E93" s="119">
        <f t="shared" si="1"/>
        <v>0</v>
      </c>
      <c r="F93" s="108"/>
    </row>
    <row r="94" spans="1:6" ht="24">
      <c r="A94" s="396" t="s">
        <v>760</v>
      </c>
      <c r="B94" s="397" t="s">
        <v>761</v>
      </c>
      <c r="C94" s="108">
        <v>2796</v>
      </c>
      <c r="D94" s="108">
        <v>2796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f>964263-134</f>
        <v>964129</v>
      </c>
      <c r="D95" s="108">
        <v>964129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1190362</v>
      </c>
      <c r="D96" s="104">
        <f>D85+D80+D75+D71+D95</f>
        <v>1190362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2048031</v>
      </c>
      <c r="D97" s="104">
        <f>D96+D68+D66</f>
        <v>1190362</v>
      </c>
      <c r="E97" s="104">
        <f>E96+E68+E66</f>
        <v>857669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510</v>
      </c>
      <c r="D104" s="108"/>
      <c r="E104" s="108">
        <v>0</v>
      </c>
      <c r="F104" s="125">
        <f>C104+D104-E104</f>
        <v>510</v>
      </c>
    </row>
    <row r="105" spans="1:16" ht="12">
      <c r="A105" s="412" t="s">
        <v>779</v>
      </c>
      <c r="B105" s="395" t="s">
        <v>780</v>
      </c>
      <c r="C105" s="103">
        <f>SUM(C102:C104)</f>
        <v>510</v>
      </c>
      <c r="D105" s="103">
        <f>SUM(D102:D104)</f>
        <v>0</v>
      </c>
      <c r="E105" s="103">
        <f>SUM(E102:E104)</f>
        <v>0</v>
      </c>
      <c r="F105" s="103">
        <f>SUM(F102:F104)</f>
        <v>510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782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21" t="str">
        <f>'справка №1-БАЛАНС'!E3</f>
        <v>"Химимпорт" АД</v>
      </c>
      <c r="C4" s="621"/>
      <c r="D4" s="621"/>
      <c r="E4" s="621"/>
      <c r="F4" s="621"/>
      <c r="G4" s="627" t="s">
        <v>2</v>
      </c>
      <c r="H4" s="627"/>
      <c r="I4" s="498">
        <f>'справка №1-БАЛАНС'!H3</f>
        <v>627519</v>
      </c>
    </row>
    <row r="5" spans="1:9" ht="15">
      <c r="A5" s="499" t="s">
        <v>5</v>
      </c>
      <c r="B5" s="622">
        <f>'справка №1-БАЛАНС'!E5</f>
        <v>39629</v>
      </c>
      <c r="C5" s="622"/>
      <c r="D5" s="622"/>
      <c r="E5" s="622"/>
      <c r="F5" s="622"/>
      <c r="G5" s="625" t="s">
        <v>4</v>
      </c>
      <c r="H5" s="626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786</v>
      </c>
    </row>
    <row r="7" spans="1:9" s="518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803</v>
      </c>
      <c r="C16" s="98"/>
      <c r="D16" s="98"/>
      <c r="E16" s="98"/>
      <c r="F16" s="98">
        <v>62419</v>
      </c>
      <c r="G16" s="98">
        <v>0</v>
      </c>
      <c r="H16" s="98">
        <v>0</v>
      </c>
      <c r="I16" s="434">
        <f t="shared" si="0"/>
        <v>62419</v>
      </c>
    </row>
    <row r="17" spans="1:9" s="519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62419</v>
      </c>
      <c r="G17" s="85">
        <f t="shared" si="1"/>
        <v>0</v>
      </c>
      <c r="H17" s="85">
        <f t="shared" si="1"/>
        <v>0</v>
      </c>
      <c r="I17" s="434">
        <f t="shared" si="0"/>
        <v>62419</v>
      </c>
    </row>
    <row r="18" spans="1:9" s="519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817</v>
      </c>
      <c r="B25" s="95" t="s">
        <v>818</v>
      </c>
      <c r="C25" s="98"/>
      <c r="D25" s="98"/>
      <c r="E25" s="98"/>
      <c r="F25" s="98">
        <v>21206</v>
      </c>
      <c r="G25" s="98"/>
      <c r="H25" s="98"/>
      <c r="I25" s="434">
        <f t="shared" si="0"/>
        <v>21206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21206</v>
      </c>
      <c r="G26" s="85">
        <f t="shared" si="2"/>
        <v>0</v>
      </c>
      <c r="H26" s="85">
        <f t="shared" si="2"/>
        <v>0</v>
      </c>
      <c r="I26" s="434">
        <f t="shared" si="0"/>
        <v>21206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5" t="s">
        <v>878</v>
      </c>
      <c r="B30" s="624"/>
      <c r="C30" s="624"/>
      <c r="D30" s="457" t="s">
        <v>821</v>
      </c>
      <c r="E30" s="623"/>
      <c r="F30" s="623"/>
      <c r="G30" s="623"/>
      <c r="H30" s="420" t="s">
        <v>783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SheetLayoutView="100" workbookViewId="0" topLeftCell="A67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"Химимпорт" АД</v>
      </c>
      <c r="C5" s="628"/>
      <c r="D5" s="628"/>
      <c r="E5" s="568" t="s">
        <v>2</v>
      </c>
      <c r="F5" s="451">
        <f>'справка №1-БАЛАНС'!H3</f>
        <v>627519</v>
      </c>
    </row>
    <row r="6" spans="1:13" ht="15" customHeight="1">
      <c r="A6" s="27" t="s">
        <v>824</v>
      </c>
      <c r="B6" s="629">
        <f>'справка №1-БАЛАНС'!E5</f>
        <v>39629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832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866</v>
      </c>
      <c r="B46" s="40"/>
      <c r="C46" s="441">
        <v>15692</v>
      </c>
      <c r="D46" s="441">
        <v>49.28</v>
      </c>
      <c r="E46" s="441"/>
      <c r="F46" s="443">
        <f>C46-E46</f>
        <v>15692</v>
      </c>
    </row>
    <row r="47" spans="1:6" ht="25.5">
      <c r="A47" s="36" t="s">
        <v>869</v>
      </c>
      <c r="B47" s="40"/>
      <c r="C47" s="441">
        <v>60935</v>
      </c>
      <c r="D47" s="441">
        <v>40</v>
      </c>
      <c r="E47" s="441"/>
      <c r="F47" s="443">
        <f aca="true" t="shared" si="2" ref="F47:F60">C47-E47</f>
        <v>60935</v>
      </c>
    </row>
    <row r="48" spans="1:6" ht="12.75">
      <c r="A48" s="36" t="s">
        <v>870</v>
      </c>
      <c r="B48" s="40"/>
      <c r="C48" s="441">
        <v>443</v>
      </c>
      <c r="D48" s="441">
        <v>35</v>
      </c>
      <c r="E48" s="441"/>
      <c r="F48" s="443">
        <f t="shared" si="2"/>
        <v>443</v>
      </c>
    </row>
    <row r="49" spans="1:6" ht="12.75">
      <c r="A49" s="36" t="s">
        <v>871</v>
      </c>
      <c r="B49" s="40"/>
      <c r="C49" s="441">
        <v>789</v>
      </c>
      <c r="D49" s="441">
        <v>38.07</v>
      </c>
      <c r="E49" s="441"/>
      <c r="F49" s="443">
        <f t="shared" si="2"/>
        <v>789</v>
      </c>
    </row>
    <row r="50" spans="1:6" ht="12.75">
      <c r="A50" s="36" t="s">
        <v>872</v>
      </c>
      <c r="B50" s="37"/>
      <c r="C50" s="441">
        <v>1032</v>
      </c>
      <c r="D50" s="441">
        <v>20</v>
      </c>
      <c r="E50" s="441"/>
      <c r="F50" s="443">
        <f t="shared" si="2"/>
        <v>1032</v>
      </c>
    </row>
    <row r="51" spans="1:6" ht="12.75">
      <c r="A51" s="36" t="s">
        <v>873</v>
      </c>
      <c r="B51" s="37"/>
      <c r="C51" s="441">
        <v>20212</v>
      </c>
      <c r="D51" s="441">
        <v>21.27</v>
      </c>
      <c r="E51" s="441"/>
      <c r="F51" s="443">
        <f t="shared" si="2"/>
        <v>20212</v>
      </c>
    </row>
    <row r="52" spans="1:6" ht="12.75">
      <c r="A52" s="36" t="s">
        <v>874</v>
      </c>
      <c r="B52" s="37"/>
      <c r="C52" s="441">
        <v>9689</v>
      </c>
      <c r="D52" s="441">
        <v>28.2</v>
      </c>
      <c r="E52" s="441"/>
      <c r="F52" s="443">
        <f t="shared" si="2"/>
        <v>9689</v>
      </c>
    </row>
    <row r="53" spans="1:6" ht="12.75">
      <c r="A53" s="36" t="s">
        <v>875</v>
      </c>
      <c r="B53" s="37"/>
      <c r="C53" s="441">
        <v>1787</v>
      </c>
      <c r="D53" s="441">
        <v>45</v>
      </c>
      <c r="E53" s="441"/>
      <c r="F53" s="443">
        <f t="shared" si="2"/>
        <v>1787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110579</v>
      </c>
      <c r="D61" s="429"/>
      <c r="E61" s="429">
        <f>SUM(E46:E60)</f>
        <v>0</v>
      </c>
      <c r="F61" s="442">
        <f>SUM(F46:F60)</f>
        <v>110579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110579</v>
      </c>
      <c r="D79" s="429"/>
      <c r="E79" s="429">
        <f>E78+E61+E44+E27</f>
        <v>0</v>
      </c>
      <c r="F79" s="442">
        <f>F78+F61+F44+F27</f>
        <v>110579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876</v>
      </c>
      <c r="B151" s="452"/>
      <c r="C151" s="630" t="s">
        <v>851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858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Kerezov</cp:lastModifiedBy>
  <cp:lastPrinted>2008-09-01T14:48:55Z</cp:lastPrinted>
  <dcterms:created xsi:type="dcterms:W3CDTF">2000-06-29T12:02:40Z</dcterms:created>
  <dcterms:modified xsi:type="dcterms:W3CDTF">2008-09-01T14:50:17Z</dcterms:modified>
  <cp:category/>
  <cp:version/>
  <cp:contentType/>
  <cp:contentStatus/>
</cp:coreProperties>
</file>